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10" firstSheet="4" activeTab="7"/>
  </bookViews>
  <sheets>
    <sheet name="Overall summary" sheetId="4" r:id="rId1"/>
    <sheet name="summary Allo Pool fund recurent" sheetId="2" r:id="rId2"/>
    <sheet name="Sumary Allo pooled fund capital" sheetId="3" r:id="rId3"/>
    <sheet name="Pooled fund personnel" sheetId="11" r:id="rId4"/>
    <sheet name="Pooled Fund SP" sheetId="18" r:id="rId5"/>
    <sheet name="Personnel Details" sheetId="19" r:id="rId6"/>
    <sheet name="Details SP" sheetId="8" r:id="rId7"/>
    <sheet name="Pooled Fund detail Capital" sheetId="7" r:id="rId8"/>
    <sheet name="Project detail capital" sheetId="5" r:id="rId9"/>
    <sheet name="First Schedle" sheetId="15" r:id="rId10"/>
    <sheet name="Second Schedle" sheetId="16" r:id="rId11"/>
    <sheet name="Third Schedule" sheetId="14" r:id="rId12"/>
    <sheet name="Fourth Schedule" sheetId="13" r:id="rId13"/>
  </sheets>
  <definedNames>
    <definedName name="_GoBack" localSheetId="8">'Project detail capital'!$D$40</definedName>
    <definedName name="_xlnm.Print_Titles" localSheetId="12">'Fourth Schedule'!$6:$7</definedName>
    <definedName name="_xlnm.Print_Titles" localSheetId="7">'Pooled Fund detail Capital'!$5:$5</definedName>
    <definedName name="_xlnm.Print_Titles" localSheetId="4">'Pooled Fund SP'!$6:$6</definedName>
    <definedName name="_xlnm.Print_Titles" localSheetId="8">'Project detail capital'!$5:$5</definedName>
    <definedName name="_xlnm.Print_Titles" localSheetId="1">'summary Allo Pool fund recurent'!$5:$5</definedName>
    <definedName name="_xlnm.Print_Titles" localSheetId="11">'Third Schedule'!$5:$6</definedName>
  </definedNames>
  <calcPr calcId="124519"/>
</workbook>
</file>

<file path=xl/calcChain.xml><?xml version="1.0" encoding="utf-8"?>
<calcChain xmlns="http://schemas.openxmlformats.org/spreadsheetml/2006/main">
  <c r="H617" i="8"/>
  <c r="H618"/>
  <c r="H619"/>
  <c r="H620"/>
  <c r="H616"/>
  <c r="H464"/>
  <c r="H465"/>
  <c r="H466"/>
  <c r="H463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44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53"/>
  <c r="D51" i="13"/>
  <c r="D113"/>
  <c r="F621" i="8"/>
  <c r="F27" i="5"/>
  <c r="D10" i="3" s="1"/>
  <c r="E27" i="5"/>
  <c r="D27"/>
  <c r="G26"/>
  <c r="G27" s="1"/>
  <c r="H83" i="7"/>
  <c r="G83"/>
  <c r="F83"/>
  <c r="I82"/>
  <c r="I81"/>
  <c r="I80"/>
  <c r="H74" i="8"/>
  <c r="H75"/>
  <c r="H76"/>
  <c r="H77"/>
  <c r="H78"/>
  <c r="H79"/>
  <c r="H80"/>
  <c r="H81"/>
  <c r="H82"/>
  <c r="H73"/>
  <c r="G332"/>
  <c r="H83" l="1"/>
  <c r="I83" i="7"/>
  <c r="H40" i="18"/>
  <c r="G40"/>
  <c r="F40"/>
  <c r="I39"/>
  <c r="I38"/>
  <c r="I37"/>
  <c r="I36"/>
  <c r="I40" s="1"/>
  <c r="F69" i="5"/>
  <c r="E69"/>
  <c r="D69"/>
  <c r="G68"/>
  <c r="H56" i="7"/>
  <c r="G56"/>
  <c r="F56"/>
  <c r="I55"/>
  <c r="F710" i="8"/>
  <c r="D104" i="13"/>
  <c r="D86"/>
  <c r="D87"/>
  <c r="D26"/>
  <c r="F135" i="14"/>
  <c r="D146"/>
  <c r="D16" i="13"/>
  <c r="G18" i="5"/>
  <c r="G19" s="1"/>
  <c r="D71" i="13"/>
  <c r="D9"/>
  <c r="D67"/>
  <c r="D48"/>
  <c r="D118"/>
  <c r="D24"/>
  <c r="D64"/>
  <c r="D13"/>
  <c r="D103"/>
  <c r="D44"/>
  <c r="D83"/>
  <c r="D53"/>
  <c r="D43"/>
  <c r="I25" i="7"/>
  <c r="I26" s="1"/>
  <c r="F72" i="5"/>
  <c r="H78" i="7"/>
  <c r="F19" i="5"/>
  <c r="D8" i="3" s="1"/>
  <c r="E19" i="5"/>
  <c r="D19"/>
  <c r="F78" i="7"/>
  <c r="G78"/>
  <c r="I77"/>
  <c r="I78" s="1"/>
  <c r="F63" i="5"/>
  <c r="D19" i="3" s="1"/>
  <c r="E63" i="5"/>
  <c r="D63"/>
  <c r="G62"/>
  <c r="G63" s="1"/>
  <c r="D60"/>
  <c r="E60"/>
  <c r="F60"/>
  <c r="D18" i="3" s="1"/>
  <c r="G59" i="5"/>
  <c r="G60" s="1"/>
  <c r="H43" i="7"/>
  <c r="G43"/>
  <c r="F43"/>
  <c r="I42"/>
  <c r="F75"/>
  <c r="G75"/>
  <c r="H75"/>
  <c r="I74"/>
  <c r="I73"/>
  <c r="H52"/>
  <c r="G52"/>
  <c r="F52"/>
  <c r="I51"/>
  <c r="F71"/>
  <c r="G71"/>
  <c r="H71"/>
  <c r="I68"/>
  <c r="I70"/>
  <c r="I69"/>
  <c r="F66"/>
  <c r="G66"/>
  <c r="H66"/>
  <c r="I65"/>
  <c r="I64"/>
  <c r="F63"/>
  <c r="G63"/>
  <c r="H63"/>
  <c r="I62"/>
  <c r="I61"/>
  <c r="F59"/>
  <c r="G59"/>
  <c r="H59"/>
  <c r="I58"/>
  <c r="I59" s="1"/>
  <c r="I54"/>
  <c r="I56" s="1"/>
  <c r="I50"/>
  <c r="F48"/>
  <c r="G48"/>
  <c r="H48"/>
  <c r="I47"/>
  <c r="I48" s="1"/>
  <c r="F45"/>
  <c r="G45"/>
  <c r="H45"/>
  <c r="I44"/>
  <c r="I45" s="1"/>
  <c r="I41"/>
  <c r="I43" s="1"/>
  <c r="F39"/>
  <c r="G39"/>
  <c r="H39"/>
  <c r="I38"/>
  <c r="I39" s="1"/>
  <c r="H36"/>
  <c r="G36"/>
  <c r="F36"/>
  <c r="I35"/>
  <c r="I34"/>
  <c r="F32"/>
  <c r="G32"/>
  <c r="H32"/>
  <c r="I31"/>
  <c r="I32" s="1"/>
  <c r="F29"/>
  <c r="G29"/>
  <c r="H29"/>
  <c r="I28"/>
  <c r="I29" s="1"/>
  <c r="F26"/>
  <c r="H26"/>
  <c r="D6" i="2"/>
  <c r="G756" i="8"/>
  <c r="H755"/>
  <c r="E756"/>
  <c r="D756"/>
  <c r="F12" i="19"/>
  <c r="E12"/>
  <c r="D12"/>
  <c r="G11"/>
  <c r="G12" s="1"/>
  <c r="F83" i="14"/>
  <c r="F79"/>
  <c r="F81" i="5"/>
  <c r="D23" i="3" s="1"/>
  <c r="E81" i="5"/>
  <c r="D81"/>
  <c r="G80"/>
  <c r="G81" s="1"/>
  <c r="G621" i="8"/>
  <c r="F26" i="2" s="1"/>
  <c r="E621" i="8"/>
  <c r="D621"/>
  <c r="H25" i="18"/>
  <c r="G25"/>
  <c r="F25"/>
  <c r="I24"/>
  <c r="F15" i="5"/>
  <c r="D7" i="3" s="1"/>
  <c r="E15" i="5"/>
  <c r="D15"/>
  <c r="G13"/>
  <c r="G14"/>
  <c r="G12"/>
  <c r="F15" i="14"/>
  <c r="D91"/>
  <c r="G10" i="19"/>
  <c r="I9" i="11"/>
  <c r="G11"/>
  <c r="F11"/>
  <c r="H34" i="18"/>
  <c r="G34"/>
  <c r="F34"/>
  <c r="I33"/>
  <c r="I34" s="1"/>
  <c r="D35" i="13"/>
  <c r="D79"/>
  <c r="D49"/>
  <c r="D29"/>
  <c r="D55"/>
  <c r="D11"/>
  <c r="D110"/>
  <c r="I75" i="7" l="1"/>
  <c r="I36"/>
  <c r="I66"/>
  <c r="I63"/>
  <c r="I52"/>
  <c r="I71"/>
  <c r="H621" i="8"/>
  <c r="G15" i="5"/>
  <c r="H236" i="8" l="1"/>
  <c r="F236" s="1"/>
  <c r="F266" s="1"/>
  <c r="F78" i="14"/>
  <c r="F89"/>
  <c r="D92"/>
  <c r="G9"/>
  <c r="G10"/>
  <c r="G11"/>
  <c r="G12"/>
  <c r="G13"/>
  <c r="G15"/>
  <c r="G16"/>
  <c r="G17"/>
  <c r="G18"/>
  <c r="G20"/>
  <c r="G21"/>
  <c r="G22"/>
  <c r="G23"/>
  <c r="G24"/>
  <c r="G25"/>
  <c r="G27"/>
  <c r="G28"/>
  <c r="G29"/>
  <c r="G30"/>
  <c r="G31"/>
  <c r="G32"/>
  <c r="G34"/>
  <c r="G35"/>
  <c r="G36"/>
  <c r="G37"/>
  <c r="G38"/>
  <c r="G39"/>
  <c r="G40"/>
  <c r="G41"/>
  <c r="G43"/>
  <c r="G44"/>
  <c r="G45"/>
  <c r="G46"/>
  <c r="G47"/>
  <c r="G48"/>
  <c r="G49"/>
  <c r="G50"/>
  <c r="G51"/>
  <c r="G52"/>
  <c r="G53"/>
  <c r="G54"/>
  <c r="G55"/>
  <c r="G56"/>
  <c r="G57"/>
  <c r="G60"/>
  <c r="G61"/>
  <c r="G65"/>
  <c r="G66"/>
  <c r="G68"/>
  <c r="G69"/>
  <c r="G70"/>
  <c r="G71"/>
  <c r="G72"/>
  <c r="G73"/>
  <c r="G74"/>
  <c r="G75"/>
  <c r="G76"/>
  <c r="G77"/>
  <c r="G78"/>
  <c r="G80"/>
  <c r="G81"/>
  <c r="G82"/>
  <c r="G83"/>
  <c r="G84"/>
  <c r="G85"/>
  <c r="G86"/>
  <c r="G87"/>
  <c r="G88"/>
  <c r="G89"/>
  <c r="G91"/>
  <c r="G93"/>
  <c r="G94"/>
  <c r="G95"/>
  <c r="G96"/>
  <c r="G97"/>
  <c r="G98"/>
  <c r="G100"/>
  <c r="G101"/>
  <c r="G103"/>
  <c r="G105"/>
  <c r="G107"/>
  <c r="G108"/>
  <c r="G110"/>
  <c r="G111"/>
  <c r="G112"/>
  <c r="G113"/>
  <c r="G114"/>
  <c r="G115"/>
  <c r="G116"/>
  <c r="G118"/>
  <c r="G119"/>
  <c r="G120"/>
  <c r="G121"/>
  <c r="G122"/>
  <c r="G123"/>
  <c r="G124"/>
  <c r="G125"/>
  <c r="G126"/>
  <c r="G127"/>
  <c r="G129"/>
  <c r="G130"/>
  <c r="G131"/>
  <c r="G132"/>
  <c r="G133"/>
  <c r="G134"/>
  <c r="G135"/>
  <c r="G136"/>
  <c r="G138"/>
  <c r="G139"/>
  <c r="G140"/>
  <c r="G146"/>
  <c r="G7"/>
  <c r="F9" i="16"/>
  <c r="G9"/>
  <c r="D13" i="15"/>
  <c r="C13"/>
  <c r="H10" i="11"/>
  <c r="H11" s="1"/>
  <c r="D44" i="5"/>
  <c r="E44"/>
  <c r="F44"/>
  <c r="D14" i="3" s="1"/>
  <c r="G43" i="5"/>
  <c r="G44" s="1"/>
  <c r="H23" i="7"/>
  <c r="G23"/>
  <c r="F23"/>
  <c r="I22"/>
  <c r="I23" s="1"/>
  <c r="D8" i="2"/>
  <c r="D31" s="1"/>
  <c r="D99" i="14" l="1"/>
  <c r="G99" s="1"/>
  <c r="E73" i="5" l="1"/>
  <c r="D73"/>
  <c r="F77"/>
  <c r="E77"/>
  <c r="D77"/>
  <c r="G76"/>
  <c r="G75"/>
  <c r="G67"/>
  <c r="G66"/>
  <c r="G69" s="1"/>
  <c r="G77" l="1"/>
  <c r="F56"/>
  <c r="E56"/>
  <c r="D56"/>
  <c r="G55"/>
  <c r="F52"/>
  <c r="E52"/>
  <c r="D52"/>
  <c r="G51"/>
  <c r="D48"/>
  <c r="G47"/>
  <c r="E47"/>
  <c r="E48" s="1"/>
  <c r="F41"/>
  <c r="D41"/>
  <c r="G40"/>
  <c r="G39"/>
  <c r="G38"/>
  <c r="E38"/>
  <c r="F35"/>
  <c r="D35"/>
  <c r="G34"/>
  <c r="G33"/>
  <c r="E33"/>
  <c r="F30"/>
  <c r="E30"/>
  <c r="D30"/>
  <c r="G29"/>
  <c r="F23"/>
  <c r="D23"/>
  <c r="G22"/>
  <c r="E22"/>
  <c r="F9"/>
  <c r="D9"/>
  <c r="D82" s="1"/>
  <c r="G8"/>
  <c r="E8"/>
  <c r="H20" i="7"/>
  <c r="G20"/>
  <c r="F20"/>
  <c r="I19"/>
  <c r="I18"/>
  <c r="H16"/>
  <c r="G16"/>
  <c r="F16"/>
  <c r="I15"/>
  <c r="H13"/>
  <c r="G13"/>
  <c r="F13"/>
  <c r="I12"/>
  <c r="I11"/>
  <c r="I10"/>
  <c r="H8"/>
  <c r="G8"/>
  <c r="F8"/>
  <c r="F84" s="1"/>
  <c r="I7"/>
  <c r="H754" i="8"/>
  <c r="H753"/>
  <c r="H752"/>
  <c r="H751"/>
  <c r="H750"/>
  <c r="H749"/>
  <c r="H748"/>
  <c r="H747"/>
  <c r="H746"/>
  <c r="H745"/>
  <c r="H744"/>
  <c r="H743"/>
  <c r="H742"/>
  <c r="H741"/>
  <c r="H84" i="7" l="1"/>
  <c r="G84"/>
  <c r="H756" i="8"/>
  <c r="G142" i="14" s="1"/>
  <c r="I13" i="7"/>
  <c r="I20"/>
  <c r="I16"/>
  <c r="I8"/>
  <c r="E34" i="5"/>
  <c r="E35" s="1"/>
  <c r="G41"/>
  <c r="G9"/>
  <c r="E9"/>
  <c r="G35"/>
  <c r="G23"/>
  <c r="G30"/>
  <c r="G48"/>
  <c r="G52"/>
  <c r="G56"/>
  <c r="E23"/>
  <c r="E39"/>
  <c r="E40" s="1"/>
  <c r="E41" s="1"/>
  <c r="G715" i="8"/>
  <c r="E715"/>
  <c r="D715"/>
  <c r="H714"/>
  <c r="H713"/>
  <c r="H712"/>
  <c r="H711"/>
  <c r="H709"/>
  <c r="F709" s="1"/>
  <c r="G679"/>
  <c r="E679"/>
  <c r="D679"/>
  <c r="H678"/>
  <c r="G666"/>
  <c r="E666"/>
  <c r="D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G590"/>
  <c r="E590"/>
  <c r="D590"/>
  <c r="H589"/>
  <c r="H588"/>
  <c r="H587"/>
  <c r="H586"/>
  <c r="H585"/>
  <c r="I84" i="7" l="1"/>
  <c r="H590" i="8"/>
  <c r="F128" i="14" s="1"/>
  <c r="G128" s="1"/>
  <c r="H666" i="8"/>
  <c r="F137" i="14" s="1"/>
  <c r="G137" s="1"/>
  <c r="H679" i="8"/>
  <c r="F141" i="14" s="1"/>
  <c r="G141" s="1"/>
  <c r="H715" i="8"/>
  <c r="G144" i="14" s="1"/>
  <c r="E82" i="5"/>
  <c r="F48"/>
  <c r="G575" i="8"/>
  <c r="E575"/>
  <c r="D575"/>
  <c r="H574"/>
  <c r="H573"/>
  <c r="H572"/>
  <c r="H571"/>
  <c r="H570"/>
  <c r="H569"/>
  <c r="H568"/>
  <c r="H567"/>
  <c r="H566"/>
  <c r="H565"/>
  <c r="H564"/>
  <c r="H563"/>
  <c r="H562"/>
  <c r="H561"/>
  <c r="H560"/>
  <c r="H559"/>
  <c r="H558"/>
  <c r="G540"/>
  <c r="E540"/>
  <c r="D540"/>
  <c r="H539"/>
  <c r="H538"/>
  <c r="H537"/>
  <c r="H536"/>
  <c r="H535"/>
  <c r="H534"/>
  <c r="H533"/>
  <c r="H532"/>
  <c r="H531"/>
  <c r="H530"/>
  <c r="H529"/>
  <c r="H528"/>
  <c r="H527"/>
  <c r="H526"/>
  <c r="H525"/>
  <c r="H524"/>
  <c r="H523"/>
  <c r="H521"/>
  <c r="H520"/>
  <c r="H519"/>
  <c r="H518"/>
  <c r="H517"/>
  <c r="H516"/>
  <c r="H515"/>
  <c r="H514"/>
  <c r="H513"/>
  <c r="H512"/>
  <c r="H511"/>
  <c r="H510"/>
  <c r="H509"/>
  <c r="H508"/>
  <c r="H507"/>
  <c r="H506"/>
  <c r="H505"/>
  <c r="H504"/>
  <c r="H503"/>
  <c r="H502"/>
  <c r="G467"/>
  <c r="E467"/>
  <c r="H575" l="1"/>
  <c r="F109" i="14" s="1"/>
  <c r="G109" s="1"/>
  <c r="H540" i="8"/>
  <c r="F106" i="14" s="1"/>
  <c r="G106" s="1"/>
  <c r="D467" i="8"/>
  <c r="G428"/>
  <c r="E428"/>
  <c r="D428"/>
  <c r="H427"/>
  <c r="H426"/>
  <c r="H425"/>
  <c r="H424"/>
  <c r="H423"/>
  <c r="H422"/>
  <c r="H421"/>
  <c r="H420"/>
  <c r="H419"/>
  <c r="H418"/>
  <c r="H417"/>
  <c r="H416"/>
  <c r="H415"/>
  <c r="H414"/>
  <c r="H413"/>
  <c r="G393"/>
  <c r="E393"/>
  <c r="D393"/>
  <c r="H392"/>
  <c r="H391"/>
  <c r="H390"/>
  <c r="H389"/>
  <c r="H388"/>
  <c r="H387"/>
  <c r="H386"/>
  <c r="H385"/>
  <c r="H384"/>
  <c r="H383"/>
  <c r="H382"/>
  <c r="G371"/>
  <c r="E371"/>
  <c r="D371"/>
  <c r="E332"/>
  <c r="D332"/>
  <c r="H331"/>
  <c r="H330"/>
  <c r="H329"/>
  <c r="H328"/>
  <c r="H327"/>
  <c r="H326"/>
  <c r="H325"/>
  <c r="H324"/>
  <c r="H323"/>
  <c r="G298"/>
  <c r="E298"/>
  <c r="D298"/>
  <c r="H297"/>
  <c r="H296"/>
  <c r="H295"/>
  <c r="H294"/>
  <c r="H293"/>
  <c r="H292"/>
  <c r="G266"/>
  <c r="E266"/>
  <c r="D266"/>
  <c r="H265"/>
  <c r="H264"/>
  <c r="H263"/>
  <c r="H262"/>
  <c r="H261"/>
  <c r="H260"/>
  <c r="H259"/>
  <c r="H258"/>
  <c r="H257"/>
  <c r="H256"/>
  <c r="H255"/>
  <c r="H254"/>
  <c r="H251"/>
  <c r="H250"/>
  <c r="H249"/>
  <c r="H248"/>
  <c r="H247"/>
  <c r="H246"/>
  <c r="H245"/>
  <c r="H244"/>
  <c r="H243"/>
  <c r="H242"/>
  <c r="H241"/>
  <c r="H240"/>
  <c r="H239"/>
  <c r="H238"/>
  <c r="H237"/>
  <c r="H235"/>
  <c r="H234"/>
  <c r="H233"/>
  <c r="G204"/>
  <c r="E204"/>
  <c r="D204"/>
  <c r="H203"/>
  <c r="H202"/>
  <c r="H201"/>
  <c r="G171"/>
  <c r="E171"/>
  <c r="D171"/>
  <c r="H170"/>
  <c r="H169"/>
  <c r="G139"/>
  <c r="E139"/>
  <c r="D139"/>
  <c r="H138"/>
  <c r="H137"/>
  <c r="H139" s="1"/>
  <c r="F14" i="14" s="1"/>
  <c r="G14" s="1"/>
  <c r="H428" i="8" l="1"/>
  <c r="F102" i="14" s="1"/>
  <c r="G102" s="1"/>
  <c r="H467" i="8"/>
  <c r="F104" i="14" s="1"/>
  <c r="G104" s="1"/>
  <c r="H332" i="8"/>
  <c r="F64" i="14" s="1"/>
  <c r="G64" s="1"/>
  <c r="H393" i="8"/>
  <c r="F92" i="14" s="1"/>
  <c r="G92" s="1"/>
  <c r="H204" i="8"/>
  <c r="F42" i="14" s="1"/>
  <c r="G42" s="1"/>
  <c r="H171" i="8"/>
  <c r="F19" i="14" s="1"/>
  <c r="G19" s="1"/>
  <c r="H298" i="8"/>
  <c r="F63" i="14" s="1"/>
  <c r="G63" s="1"/>
  <c r="H266" i="8"/>
  <c r="F59" i="14" s="1"/>
  <c r="G59" s="1"/>
  <c r="G79"/>
  <c r="G112" i="8"/>
  <c r="E112"/>
  <c r="D112" l="1"/>
  <c r="H111"/>
  <c r="H110"/>
  <c r="H109"/>
  <c r="H108"/>
  <c r="H107"/>
  <c r="H106"/>
  <c r="H105"/>
  <c r="G83"/>
  <c r="D83"/>
  <c r="G52"/>
  <c r="D52"/>
  <c r="H51"/>
  <c r="H50"/>
  <c r="H49"/>
  <c r="H48"/>
  <c r="H47"/>
  <c r="H46"/>
  <c r="H45"/>
  <c r="H44"/>
  <c r="H43"/>
  <c r="H42"/>
  <c r="G18"/>
  <c r="D18"/>
  <c r="H17"/>
  <c r="H16"/>
  <c r="H15"/>
  <c r="H52" l="1"/>
  <c r="E58" i="14" s="1"/>
  <c r="G58" s="1"/>
  <c r="E67"/>
  <c r="G67" s="1"/>
  <c r="H112" i="8"/>
  <c r="F8" i="14" s="1"/>
  <c r="H14" i="8"/>
  <c r="H13"/>
  <c r="H12"/>
  <c r="H11"/>
  <c r="H10"/>
  <c r="H9"/>
  <c r="G9" i="19"/>
  <c r="H10" i="18"/>
  <c r="G10"/>
  <c r="F10"/>
  <c r="I9"/>
  <c r="H31"/>
  <c r="G31"/>
  <c r="F31"/>
  <c r="I30"/>
  <c r="I29"/>
  <c r="G8" i="14" l="1"/>
  <c r="F147"/>
  <c r="H18" i="8"/>
  <c r="E26" i="14" s="1"/>
  <c r="I31" i="18"/>
  <c r="H18"/>
  <c r="G18"/>
  <c r="F18"/>
  <c r="I17"/>
  <c r="I16"/>
  <c r="I15"/>
  <c r="H13"/>
  <c r="G13"/>
  <c r="F13"/>
  <c r="I12"/>
  <c r="I23"/>
  <c r="I25" s="1"/>
  <c r="H27"/>
  <c r="G27"/>
  <c r="F27"/>
  <c r="I26"/>
  <c r="H21"/>
  <c r="G21"/>
  <c r="F21"/>
  <c r="I20"/>
  <c r="F41" l="1"/>
  <c r="G41"/>
  <c r="H41"/>
  <c r="G26" i="14"/>
  <c r="E147"/>
  <c r="I10" i="18"/>
  <c r="I27"/>
  <c r="I13"/>
  <c r="I21"/>
  <c r="I18"/>
  <c r="H12" i="11"/>
  <c r="G12"/>
  <c r="F12"/>
  <c r="I10"/>
  <c r="I8"/>
  <c r="D16" i="3"/>
  <c r="D11"/>
  <c r="I41" i="18" l="1"/>
  <c r="I11" i="11"/>
  <c r="I12" s="1"/>
  <c r="D145" i="14"/>
  <c r="D20" i="3"/>
  <c r="D17" s="1"/>
  <c r="D12" s="1"/>
  <c r="D15"/>
  <c r="D9" s="1"/>
  <c r="D13" s="1"/>
  <c r="D6"/>
  <c r="G145" i="14" l="1"/>
  <c r="G147" s="1"/>
  <c r="D147"/>
  <c r="F30" i="2"/>
  <c r="F29" s="1"/>
  <c r="F28" s="1"/>
  <c r="F27" s="1"/>
  <c r="F25"/>
  <c r="F24" s="1"/>
  <c r="F23" s="1"/>
  <c r="F22" s="1"/>
  <c r="F21" s="1"/>
  <c r="F20" s="1"/>
  <c r="F19" s="1"/>
  <c r="F18" s="1"/>
  <c r="F17" s="1"/>
  <c r="F16" s="1"/>
  <c r="F15" s="1"/>
  <c r="F14" s="1"/>
  <c r="F13" s="1"/>
  <c r="F12" s="1"/>
  <c r="H11" s="1"/>
  <c r="H10" s="1"/>
  <c r="H9" s="1"/>
  <c r="C16" i="4" l="1"/>
  <c r="C7" l="1"/>
  <c r="C6" s="1"/>
  <c r="F31" i="2" l="1"/>
  <c r="H31"/>
  <c r="F32" l="1"/>
  <c r="C10" i="4" s="1"/>
  <c r="D22" i="3"/>
  <c r="G72" i="5"/>
  <c r="G73" s="1"/>
  <c r="G82" s="1"/>
  <c r="F73"/>
  <c r="F82" l="1"/>
  <c r="D91" i="13"/>
  <c r="D120" s="1"/>
  <c r="D21" i="3"/>
  <c r="D24" s="1"/>
  <c r="C17" i="4" s="1"/>
  <c r="C18" s="1"/>
  <c r="C8" l="1"/>
  <c r="C9" s="1"/>
  <c r="C11" s="1"/>
  <c r="H371" i="8"/>
  <c r="F371"/>
</calcChain>
</file>

<file path=xl/sharedStrings.xml><?xml version="1.0" encoding="utf-8"?>
<sst xmlns="http://schemas.openxmlformats.org/spreadsheetml/2006/main" count="1488" uniqueCount="806">
  <si>
    <t>S/N</t>
  </si>
  <si>
    <t>MDAs</t>
  </si>
  <si>
    <t>PAGE</t>
  </si>
  <si>
    <t>Total</t>
  </si>
  <si>
    <t>Grand Total</t>
  </si>
  <si>
    <t>A: RECURRENT EXPENDITURE</t>
  </si>
  <si>
    <t xml:space="preserve">                                                  SUMMARY OF ALLOCATION OF POOLED FUND</t>
  </si>
  <si>
    <t>B: CAPITAL EXPENDITURE</t>
  </si>
  <si>
    <t>Ministry of Finance</t>
  </si>
  <si>
    <t>ONDO STATE OF NIGERIA</t>
  </si>
  <si>
    <t>A: RECURRENT</t>
  </si>
  <si>
    <t>SUMMARY OF POOLED FUNDS</t>
  </si>
  <si>
    <t>AMOUNT (N)</t>
  </si>
  <si>
    <t>Personnel Cost</t>
  </si>
  <si>
    <t>Special Programme</t>
  </si>
  <si>
    <t>Total Recurrent Expenditure Allocation</t>
  </si>
  <si>
    <t>B: CAPITAL</t>
  </si>
  <si>
    <t>Total Pooled Fund from Capital</t>
  </si>
  <si>
    <t>PROJECT DETAILS</t>
  </si>
  <si>
    <t>ADMIN CODE</t>
  </si>
  <si>
    <t>ECONOMIC CODE</t>
  </si>
  <si>
    <t>PROJECT DISCRIPTION AND LOCATION</t>
  </si>
  <si>
    <t xml:space="preserve">ADITIONAL PROVISION   M'N       </t>
  </si>
  <si>
    <t>4</t>
  </si>
  <si>
    <t>6</t>
  </si>
  <si>
    <t>7</t>
  </si>
  <si>
    <t>ONDO STATE JUDICIARY</t>
  </si>
  <si>
    <t>ORANGE FM</t>
  </si>
  <si>
    <t>GENERAL ADMINISTRATION</t>
  </si>
  <si>
    <t>GRAND TOTAL</t>
  </si>
  <si>
    <t>MIN./DEPT/AGENCY</t>
  </si>
  <si>
    <t>DETAILS</t>
  </si>
  <si>
    <t>AMOUNT DEDUCTED</t>
  </si>
  <si>
    <t>9</t>
  </si>
  <si>
    <t xml:space="preserve"> GRAND TOTAL</t>
  </si>
  <si>
    <t>DETAILS OF POOLED FUND UNDER CAPITAL</t>
  </si>
  <si>
    <t>PROJECT DISCRIPTION</t>
  </si>
  <si>
    <t>SPECIAL PROGRAMMES</t>
  </si>
  <si>
    <t>Economic Code</t>
  </si>
  <si>
    <t xml:space="preserve">Details </t>
  </si>
  <si>
    <t>Additional Provision</t>
  </si>
  <si>
    <t>TOTAL</t>
  </si>
  <si>
    <t>GOVERNOR'S OFFICE-GOVERNMENT HOUSE AND PROTOCOL</t>
  </si>
  <si>
    <t>DEPUTY GOVERNOR'S OFFICE</t>
  </si>
  <si>
    <t>ONDO STATE BOUNDARY COMMISSION</t>
  </si>
  <si>
    <t>STATE EMERGENCY MANAGEMENT AGENCY (SEMA)</t>
  </si>
  <si>
    <t>PROJECT AND PRICE MONITORING UNIT (PPMU)</t>
  </si>
  <si>
    <t>ACCELERATED POVERTY ALLEVIATION AGENCY(APAA)</t>
  </si>
  <si>
    <t>LIAISON OFFICE, LAGOS</t>
  </si>
  <si>
    <t>LIAISON OFFICE, ABUJA</t>
  </si>
  <si>
    <t>ONDO STATE AGENCY FOR THE CONTROL OF AIDS (ODSACA)</t>
  </si>
  <si>
    <t>MUSLIM WELFARE BOARD</t>
  </si>
  <si>
    <t>CHRISTIAN WELFARE BOARD</t>
  </si>
  <si>
    <t>POOLS BETTINGS AND LOTTERIES BOARD</t>
  </si>
  <si>
    <t>INTER-GOVERNMENTAL AFFAIRS AND MULTILATERAL RELATIONS</t>
  </si>
  <si>
    <t>STATE HOUSE OF ASSEMBLY</t>
  </si>
  <si>
    <t>HOUSE OF ASSEMBLY COMMISSION</t>
  </si>
  <si>
    <t>ONDO STATE RADIOVISION CORPORATION</t>
  </si>
  <si>
    <t>OFFICE OF THE HEAD OF SERVICE</t>
  </si>
  <si>
    <t>PUBLIC SERVICE TRAINING INSTITUTE</t>
  </si>
  <si>
    <t>OFFICE OF ESTABLISHMENTS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</si>
  <si>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</si>
  <si>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</si>
  <si>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</si>
  <si>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</si>
  <si>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</si>
  <si>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</si>
  <si>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</si>
  <si>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</si>
  <si>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</si>
  <si>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DEBT MANAGEMENT OFFICE</t>
  </si>
  <si>
    <t>OFFICE OF THE ACCOUNTANT GENERAL</t>
  </si>
  <si>
    <t>BOARD OF INTERNAL REVENUE</t>
  </si>
  <si>
    <t>MICRO CREDIT AGENCY</t>
  </si>
  <si>
    <t>STATE INFORMATION TECHNOLOGY AGENCY (SITA)</t>
  </si>
  <si>
    <t>ONDO STATE ELECTRICITY BOARD</t>
  </si>
  <si>
    <t>ONDO STATE AGENCY FOR ROAD MAINTENANCE AND CONSTRUCTION (OSAMCO)</t>
  </si>
  <si>
    <t>MINISTRY OF CULTURE AND TOURISM</t>
  </si>
  <si>
    <t>MINISTRY OF ECONOMIC PLANNING AND BUDGET</t>
  </si>
  <si>
    <t>ONDO STATE BUREAU OF STATISTICS</t>
  </si>
  <si>
    <t>ONDO STATE WATER CORPORATION</t>
  </si>
  <si>
    <t>ONDO STATE DEVELOPMENT AND PROPERTY CORPORATION</t>
  </si>
  <si>
    <t>DIRECT LABOUR AGENCY</t>
  </si>
  <si>
    <t>MINISTRY OF LANDS AND HOUSING</t>
  </si>
  <si>
    <t>ONDO STATE JUDICIAL SERVICE COMMISSION</t>
  </si>
  <si>
    <t>MINISTRY OF JUSTICE</t>
  </si>
  <si>
    <t>ONDO STATE LAW COMMISSION</t>
  </si>
  <si>
    <t>CUSTOMARY COURT OF APPEAL</t>
  </si>
  <si>
    <t>ONDO STATE FOOTBALL DEVELOPMENT AGENCY</t>
  </si>
  <si>
    <t>MINISTRY OF WOMEN AFFAIRS AND SOCIAL DEVELOPMENT</t>
  </si>
  <si>
    <t>AGENCY FOR THE WELFARE OF THE PHYSICALLY CHALLENGED PERSONS</t>
  </si>
  <si>
    <t>STATE UNIVERSAL BASIC EDUCATION BOARD (SUBEB) HEADQUARTERS</t>
  </si>
  <si>
    <t>ONDO STATE LIBRARY BOARD</t>
  </si>
  <si>
    <t>RUFUS GIWA POLYTECHNIC, OWO</t>
  </si>
  <si>
    <t>ADEKUNLE AJASIN UNIVERSITY, AKUNGBA AKOKO</t>
  </si>
  <si>
    <t>ONDO STATE UNIVERSITY OF SCIENCE AND TECHNOLOGY, OKITIPUPA</t>
  </si>
  <si>
    <t>ONDO STATE UNIVERSITY OF MEDICAL SCIENCES</t>
  </si>
  <si>
    <t>TEACHING SERVICE COMMISSION</t>
  </si>
  <si>
    <t>ONDO STATE SCHOLARSHIP BOARD</t>
  </si>
  <si>
    <t>MINISTRY OF HEALTH</t>
  </si>
  <si>
    <t>HOSPITAL MANAGEMENT BOARD</t>
  </si>
  <si>
    <t>SCHOOL OF NURSING</t>
  </si>
  <si>
    <t>SCHOOL OF MIDWIFERY</t>
  </si>
  <si>
    <t>SCHOOL OF HEALTH TECHNOLOGY</t>
  </si>
  <si>
    <t>EMERGENCY MEDICAL SERVICES AGENCY</t>
  </si>
  <si>
    <t>NEURO-PSYCHIATRIC SPECIALIST HOSPITAL</t>
  </si>
  <si>
    <t>ONDO STATE WASTE MANAGEMENT</t>
  </si>
  <si>
    <t>ONDO STATE SPORTS COUNCIL</t>
  </si>
  <si>
    <t>LOCAL GOVERNMENT SERVICE COMMISSION</t>
  </si>
  <si>
    <t>ONDO STATE COMMUNITY AND SOCIAL DEVELOPMENT AGENCY</t>
  </si>
  <si>
    <t>OFFICE OF THE SECRETARY TO STATE GOVERNMENT (SSG)</t>
  </si>
  <si>
    <t>POLITICAL AND ECONOMIC AFFAIRS DEPARTMENT</t>
  </si>
  <si>
    <t>CABINET AND SPECIAL SERVICES DEPARTMENT</t>
  </si>
  <si>
    <t>STATE PENSION COMMISSION</t>
  </si>
  <si>
    <t>PUBLIC ACCOUNT SECRETARIAT</t>
  </si>
  <si>
    <t>OFFICE OF THE SPEAKER</t>
  </si>
  <si>
    <t>OFFICE OF THE DEPUTY SPEAKER</t>
  </si>
  <si>
    <t>GOVERNMENT PRINTING PRESS</t>
  </si>
  <si>
    <t>ONDO STATE SIGNAGE AGENCY</t>
  </si>
  <si>
    <t>FIRE SERVICES</t>
  </si>
  <si>
    <t>GOVERNMENT QUARTERS MANAGEMENT OFFICE</t>
  </si>
  <si>
    <t>E-PERSONEL ADMINISTRATION SALARY SYSTEM (E-PASS) OFFICE</t>
  </si>
  <si>
    <t>SERVICE MATTERS DEPARTMENT</t>
  </si>
  <si>
    <t>ONDO STATE INDEPENDENT ELECTORAL COMMISSION (ODIEC) AREA OFFICES</t>
  </si>
  <si>
    <t>FORESTRY STAFF TRAINING SCHOOL, OWO</t>
  </si>
  <si>
    <t>EXPENDITURE OFFICE</t>
  </si>
  <si>
    <t>CONSUMER PROTECTION COMMITTEE</t>
  </si>
  <si>
    <t>CO-OPERATIVE COLLEGE, AKURE</t>
  </si>
  <si>
    <t>BUDGET OFFICE</t>
  </si>
  <si>
    <t>OFFICE OF HONOURABLE CHIEF JUDGE</t>
  </si>
  <si>
    <t>JUDICIARY DIVISION</t>
  </si>
  <si>
    <t>CITIZEN'S RIGHT MEDIATION CENTRE/OFFICE OF PUBLIC DEFENDERS</t>
  </si>
  <si>
    <t>OFFICE OF THE PRESIDENT OF THE CUSTOMARY COURT OF APPEAL</t>
  </si>
  <si>
    <t>CUSTOMARY COURT OF APPEAL - JUDICIAL DIVISIONS</t>
  </si>
  <si>
    <t>ZONAL EDUCATION OFFICES</t>
  </si>
  <si>
    <t>ONDO STATE EDUCATION ENDOWMENT FUND OFFICE</t>
  </si>
  <si>
    <t>STATE UNIVERSAL BASIC EDUCATION BOARD (SUBEB) ZONAL OFFICE</t>
  </si>
  <si>
    <t>MEGA SCHOOLS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</si>
  <si>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</si>
  <si>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</si>
  <si>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</si>
  <si>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</si>
  <si>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</si>
  <si>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</si>
  <si>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</si>
  <si>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</si>
  <si>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</si>
  <si>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BOARD OF ALTERNATIVE MEDICINE</t>
  </si>
  <si>
    <t>MINISTRY OF LOCAL GOVERNMENT AND CHIEFTAINCY AFFAIRS</t>
  </si>
  <si>
    <t>CONSOLIDATED REVENUE FUND CHARGES</t>
  </si>
  <si>
    <t>PERSONNEL BUFFER</t>
  </si>
  <si>
    <t>ALLOCATION TO MINISTRIES/DEPARTMENTS/AGENCIES</t>
  </si>
  <si>
    <t>ADMINISTRATIVE</t>
  </si>
  <si>
    <t>EXECUTING AGENCY</t>
  </si>
  <si>
    <t>PERSONNEL COST</t>
  </si>
  <si>
    <t>OVERHEAD COST</t>
  </si>
  <si>
    <t>CODE</t>
  </si>
  <si>
    <t>N</t>
  </si>
  <si>
    <t xml:space="preserve">                      ONDO STATE OF NIGERIA                     </t>
  </si>
  <si>
    <t>NOT EXCEEDING</t>
  </si>
  <si>
    <t>N'M</t>
  </si>
  <si>
    <t>iii</t>
  </si>
  <si>
    <t>iv</t>
  </si>
  <si>
    <t>v</t>
  </si>
  <si>
    <t>xi</t>
  </si>
  <si>
    <t>xii</t>
  </si>
  <si>
    <t>x</t>
  </si>
  <si>
    <t xml:space="preserve">  CAPITAL</t>
  </si>
  <si>
    <t>OVERHEAD</t>
  </si>
  <si>
    <t>TOTAL POOLED FUND CAPITAL</t>
  </si>
  <si>
    <t>Pools Bettings and Lotteries Board</t>
  </si>
  <si>
    <t>MIN./DEPT./AGENCY</t>
  </si>
  <si>
    <t>Sub Head</t>
  </si>
  <si>
    <t>Details of Expenditure</t>
  </si>
  <si>
    <t>1</t>
  </si>
  <si>
    <t>2</t>
  </si>
  <si>
    <t>3</t>
  </si>
  <si>
    <t>5</t>
  </si>
  <si>
    <t>8</t>
  </si>
  <si>
    <t>Transfer to local Government Joint Account (10% IGR)</t>
  </si>
  <si>
    <t>10</t>
  </si>
  <si>
    <t>Consolidated Revenue Fund Charges</t>
  </si>
  <si>
    <t>OFFICE OF SENIOR SPECIAL ASSISTANTS TO THE GOVERNOR</t>
  </si>
  <si>
    <t>11</t>
  </si>
  <si>
    <t>12</t>
  </si>
  <si>
    <t>13</t>
  </si>
  <si>
    <t>14</t>
  </si>
  <si>
    <t>ONDO STATE PENSIONS TRANSITIONAL DEPARTMENT</t>
  </si>
  <si>
    <t>012300100100</t>
  </si>
  <si>
    <t>012305600100</t>
  </si>
  <si>
    <t>FADAMA PROJECT</t>
  </si>
  <si>
    <t>022000100100</t>
  </si>
  <si>
    <t>022800700100</t>
  </si>
  <si>
    <t>023100300100</t>
  </si>
  <si>
    <t>ONDO STATE UN-REDD+ PROJECT</t>
  </si>
  <si>
    <t>ONDO STATE RURAL ACCESS AND MOBILITY PROJECT (COMMUNITY BASED URBAN DEVELOPMENT PROJECT)</t>
  </si>
  <si>
    <t>026000100100</t>
  </si>
  <si>
    <t>MINISTRY OF PHYSICAL PLANNING AND URBAN DEVELOPMENT</t>
  </si>
  <si>
    <t>051300100100</t>
  </si>
  <si>
    <t>052100100100</t>
  </si>
  <si>
    <t>052110600100</t>
  </si>
  <si>
    <t>PERSONNEL ARREARS</t>
  </si>
  <si>
    <t>011100800100</t>
  </si>
  <si>
    <t>THIRD SCHEDULE</t>
  </si>
  <si>
    <t>FOURTH SCHEDULE</t>
  </si>
  <si>
    <t>Ondo State Judiciary</t>
  </si>
  <si>
    <t>Salary Bailout</t>
  </si>
  <si>
    <t xml:space="preserve">ONDO STATE GOVERNMENT OF NIGERIA </t>
  </si>
  <si>
    <t>Actual Expenditure Jan-June 2016 (N)</t>
  </si>
  <si>
    <t>Transfer to OSOPADEC</t>
  </si>
  <si>
    <t>Actual Expenditure Jan-Dec 2015       (N)</t>
  </si>
  <si>
    <t>xiii</t>
  </si>
  <si>
    <t>Approved Estimates 2018 (N)</t>
  </si>
  <si>
    <t>APPROVED 2018 RE-ORDER</t>
  </si>
  <si>
    <t>APPROVED ESTIMATES 2018</t>
  </si>
  <si>
    <t>LOCAL TRAVEL &amp; TRANSPORT: OTHERS</t>
  </si>
  <si>
    <t>TELEPHONE CHARGES</t>
  </si>
  <si>
    <t>INTERNET ACCESS CHARGES</t>
  </si>
  <si>
    <t>WATER RATES</t>
  </si>
  <si>
    <t>OFFICE STATIONERIES/COMPUTER CONSUMABLES</t>
  </si>
  <si>
    <t>NEWSPAPERS</t>
  </si>
  <si>
    <t>MAINTENANCE OF MOTOR VEHICLE/TRANSPORT EQUIPMENT</t>
  </si>
  <si>
    <t xml:space="preserve">MAINTENANCE OF OFFICE FURNITURE </t>
  </si>
  <si>
    <t>REFRESHMENT &amp; MEALS</t>
  </si>
  <si>
    <t>SPG- Medical intervention for Judges</t>
  </si>
  <si>
    <t>SPG- National Youth Day/Subvention</t>
  </si>
  <si>
    <t>SPG- Youth Summit</t>
  </si>
  <si>
    <t>SPG- Mobilization/Sensitization</t>
  </si>
  <si>
    <t>SPG- Monitoring and Data Collection on Youth</t>
  </si>
  <si>
    <t>SPG- Running Grant to Youth Council</t>
  </si>
  <si>
    <t>SPG- International Students Day Celebration</t>
  </si>
  <si>
    <t>SPG- Radio &amp; TV Enlightenment Programme</t>
  </si>
  <si>
    <t>SPG- Youth Officers &amp; Leaders Training</t>
  </si>
  <si>
    <t>SPG- National &amp; International Youth Conferences &amp; Exchange Programmes</t>
  </si>
  <si>
    <t>SPG- Youth Holiday Camping</t>
  </si>
  <si>
    <t>SPG- Grants to NYSC: State Office &amp; Regional Office</t>
  </si>
  <si>
    <t>SPG- Sports Development Programmes</t>
  </si>
  <si>
    <t>SPG- Youth Empowerment Capacity Building</t>
  </si>
  <si>
    <t>SPG- National Conference and Capacity Building</t>
  </si>
  <si>
    <t>SPG- Participation in National &amp; International Competitions/Festivals</t>
  </si>
  <si>
    <r>
      <rPr>
        <b/>
        <sz val="9"/>
        <color theme="1"/>
        <rFont val="Times New Roman"/>
        <family val="1"/>
      </rPr>
      <t>ADMIN CODE: 051300100100:</t>
    </r>
    <r>
      <rPr>
        <sz val="9"/>
        <color theme="1"/>
        <rFont val="Times New Roman"/>
        <family val="1"/>
      </rPr>
      <t xml:space="preserve"> MINISTRY OF YOUTH AND SPORTS DEVELOPMENT</t>
    </r>
  </si>
  <si>
    <r>
      <t xml:space="preserve">ACCOUNTING OFFICER: </t>
    </r>
    <r>
      <rPr>
        <sz val="9"/>
        <rFont val="Times New Roman"/>
        <family val="1"/>
      </rPr>
      <t>PERMANENT SECRETARY, MINISTRY OF YOUTH AND SPORTS DEVELOPMENT</t>
    </r>
  </si>
  <si>
    <t>SPG- Media relations</t>
  </si>
  <si>
    <t>SPG- Grants To Primary School</t>
  </si>
  <si>
    <t>SPG- Training of Primary School Teachers &amp; Education Managers</t>
  </si>
  <si>
    <t>SPG- Wall Charts &amp; Maps For Pry &amp; Junior Secondary School</t>
  </si>
  <si>
    <t>SPG- Annual Jets Competition For Primary Schools</t>
  </si>
  <si>
    <t>SPG- Primary Schools Sports</t>
  </si>
  <si>
    <t>SPG- National Education Conferences (JCCE, Rep &amp; Planning, NCE, ESSPIN)</t>
  </si>
  <si>
    <t>SPG- Monitoring of Schools</t>
  </si>
  <si>
    <t>SPG- School Competition for Pry &amp; JSS (Nat. &amp; Int.) Gov/President Inter-School Debate, Music &amp; Creative Arts, STAN, MAN, UNESCO, NASTECH, Sensitization Programme on EFA, Space Tech etc</t>
  </si>
  <si>
    <t>SPG- Preparation Of Teachers Salary</t>
  </si>
  <si>
    <t>SPG- Subvention/Grants for Stakeholders in Basic Education( NUT, AOPSHON, PTA, etc)</t>
  </si>
  <si>
    <t>SPG- School-Based Management Committee</t>
  </si>
  <si>
    <t>SPG- Data Verification of Public Primary Schools in the State</t>
  </si>
  <si>
    <t>SPG- Training of LGA Supervisors, Data Collectors etc.</t>
  </si>
  <si>
    <t>SPG- FTS Participants/State Government Contribution</t>
  </si>
  <si>
    <t>SPG- Maintenance of Leased Government Assets</t>
  </si>
  <si>
    <t>SPG- Public Service Car Loan Scheme</t>
  </si>
  <si>
    <t>SPG- Committees and Commissions</t>
  </si>
  <si>
    <t>SPG- Contingency Fund</t>
  </si>
  <si>
    <t>SPG- Insurance of Ondo State Govt. Assets and tracking of vehicles.</t>
  </si>
  <si>
    <t>SPG- Passages and Flights for Overseas Travels</t>
  </si>
  <si>
    <t>SPG- Settlement of Utility Bills</t>
  </si>
  <si>
    <t>SPG- State Security</t>
  </si>
  <si>
    <t>SPG- Seminar and Training for Account Officers</t>
  </si>
  <si>
    <t>SPG- Purchase of Computer Consumables for Ministry</t>
  </si>
  <si>
    <t>SPG- Printing of Release Warrant, DVEA Books and Allied Matters for Expenditure Department</t>
  </si>
  <si>
    <t>SPG- Printing of Payment Request Vouchers</t>
  </si>
  <si>
    <t>SPG- General Training of Accountants in the Civil Service</t>
  </si>
  <si>
    <t>SPG- Mandatory Continuous Professional Development Training Course (MCPD)</t>
  </si>
  <si>
    <t>SPG- Liaison with Debt Mgt. Office (DMO), Abuja</t>
  </si>
  <si>
    <t>SPG- Publicity of Activities of the Ministry</t>
  </si>
  <si>
    <t>SPG- Federation Accounts and Allocation Committee</t>
  </si>
  <si>
    <t>SPG- Facilitation of Legislation for Fiscal Responsibility and Procurement Laws</t>
  </si>
  <si>
    <t>SPG- Consultancy cost for Debt Management Unit</t>
  </si>
  <si>
    <t>SPG- Statutory Allowance of 10% Annual Basic Salary for Retiring Civil Servants</t>
  </si>
  <si>
    <t>SPG- Capacity Building On Financial Management and Control</t>
  </si>
  <si>
    <t>SPG- Capacity building for Appropriation Committee &amp; PAC Members</t>
  </si>
  <si>
    <t>SPG- Min. Of Finance publications; News Letters and News</t>
  </si>
  <si>
    <t>SPG- State Economic Committee-Matters Affecting</t>
  </si>
  <si>
    <t>SPG- Special Assignment on Financial Matters</t>
  </si>
  <si>
    <t>SPG- Maintenance of Office Premises</t>
  </si>
  <si>
    <t>SPG- Board of Survey and other Allied Matters</t>
  </si>
  <si>
    <t>SPG- RMAFC Related Matters/Consultancy on Paris Club Refund</t>
  </si>
  <si>
    <t xml:space="preserve">SPG- Monthly Tracking and Analysis of Expenditure </t>
  </si>
  <si>
    <t>SPG- Training/Study Tour</t>
  </si>
  <si>
    <t>SPG- Debt Management: Matters Affecting</t>
  </si>
  <si>
    <r>
      <t xml:space="preserve">ADMIN CODE: 022000100100: </t>
    </r>
    <r>
      <rPr>
        <sz val="9"/>
        <color theme="1"/>
        <rFont val="Times New Roman"/>
        <family val="1"/>
      </rPr>
      <t>MINISTRY OF FINANCE</t>
    </r>
  </si>
  <si>
    <r>
      <t xml:space="preserve">ACCOUNTING OFFICER:  </t>
    </r>
    <r>
      <rPr>
        <sz val="9"/>
        <rFont val="Times New Roman"/>
        <family val="1"/>
      </rPr>
      <t>PERMANENT SECRETARY, MINISTRY OF FINANCE</t>
    </r>
  </si>
  <si>
    <t>Provision of Relief Materials to Victims of Natural Disasters in the State</t>
  </si>
  <si>
    <t>TOTAL: STATE EMERGENCY MANAGEMENT AGENCY (SEMA)</t>
  </si>
  <si>
    <t>04110001241218</t>
  </si>
  <si>
    <t>Software/Application package (other software e.g eHealth, eJudiciary,eBIRetc)</t>
  </si>
  <si>
    <t>TOTAL: STATE INFORMATION TECHNOLOGY AGENCY (SITA)</t>
  </si>
  <si>
    <t>04110000721206</t>
  </si>
  <si>
    <t>Provision/Deployment of Network Backbone Infrastructure</t>
  </si>
  <si>
    <t>04110001531209</t>
  </si>
  <si>
    <t>Procurement of Hardware</t>
  </si>
  <si>
    <t>State Emergency Management Agency (SEMA)</t>
  </si>
  <si>
    <t>State Information Technology Agency (SITA)</t>
  </si>
  <si>
    <t>Microcredit Agency</t>
  </si>
  <si>
    <r>
      <t xml:space="preserve">                                                                   </t>
    </r>
    <r>
      <rPr>
        <b/>
        <sz val="13"/>
        <color theme="1"/>
        <rFont val="Times New Roman"/>
        <family val="1"/>
      </rPr>
      <t>ONDO STATE OF NIGERIA</t>
    </r>
  </si>
  <si>
    <r>
      <t>OVERHEADS (</t>
    </r>
    <r>
      <rPr>
        <b/>
        <strike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>)</t>
    </r>
  </si>
  <si>
    <t>PERSONNEL (N)</t>
  </si>
  <si>
    <r>
      <t>SPECIAL PROGRAMME FUNDS (</t>
    </r>
    <r>
      <rPr>
        <b/>
        <strike/>
        <sz val="10"/>
        <color theme="1"/>
        <rFont val="Times New Roman"/>
        <family val="1"/>
      </rPr>
      <t>N</t>
    </r>
    <r>
      <rPr>
        <b/>
        <sz val="10"/>
        <color theme="1"/>
        <rFont val="Times New Roman"/>
        <family val="1"/>
      </rPr>
      <t>)</t>
    </r>
  </si>
  <si>
    <t xml:space="preserve">AMOUNT DEDUCTED M'N       </t>
  </si>
  <si>
    <t>APPROVED 2018 RE-ORDER M'N</t>
  </si>
  <si>
    <t>APPROVED ESTIMATES 2018 M'N</t>
  </si>
  <si>
    <t xml:space="preserve">REMARKS </t>
  </si>
  <si>
    <t>Additional</t>
  </si>
  <si>
    <t>Remarks</t>
  </si>
  <si>
    <t>GRATUITY</t>
  </si>
  <si>
    <t>PENSION</t>
  </si>
  <si>
    <t>PAYMENT OF BENEFITS TO PAST GOVERNORS/DEPUTY GOVERNORS</t>
  </si>
  <si>
    <t>DOMESTIC INTEREST/DISCOUNT - SHORT TERM BORROWINGS</t>
  </si>
  <si>
    <t>SPG- Survey Activities</t>
  </si>
  <si>
    <t>OFFICE OF PUBLIC UTILITIES</t>
  </si>
  <si>
    <t>SPG- Special Intervention on Public Utilities</t>
  </si>
  <si>
    <t>TOTAL: ONDO STATE BUREAU OF STATISTICS</t>
  </si>
  <si>
    <t>TOTAL: OFFICE OF PUBLIC UTILITIES</t>
  </si>
  <si>
    <t>TOTAL: MINISTRY OF HEALTH</t>
  </si>
  <si>
    <t>TOTAL: MINISTRY OF ENVIRONMENT</t>
  </si>
  <si>
    <t>MINISTRY OF ENVIRONMENT</t>
  </si>
  <si>
    <t>SPG- Joint Task Force</t>
  </si>
  <si>
    <t>SPG- Running Grant to Sec. Schools</t>
  </si>
  <si>
    <t>TOTAL: MINISTRY OF CULTURE AND TOURISM</t>
  </si>
  <si>
    <t>SPG- Development of Tourist Centers</t>
  </si>
  <si>
    <t>SPG- Procurement &amp; Printing of Revenue Generating Items (i.e) Number Plates, Drivers License &amp; Vehicle License.</t>
  </si>
  <si>
    <t>ONDO STATE INVESTMENT PROMOTION AGENCY (ONDIPA)</t>
  </si>
  <si>
    <t>Digitalization of Land Records</t>
  </si>
  <si>
    <t>International Culture and Event Centre (The DOME)</t>
  </si>
  <si>
    <t>Management of Government Estates and provision of infrastructures in the Estates</t>
  </si>
  <si>
    <t>TOTAL: MINISTRY OF LANDS AND HOUSING</t>
  </si>
  <si>
    <t>REMARKS</t>
  </si>
  <si>
    <t>NIGERIA SECURITY AND CIVIL DEFENCE CORPS</t>
  </si>
  <si>
    <t>NIGERIAN LEGION</t>
  </si>
  <si>
    <t>SENIOR STAFF CLUB</t>
  </si>
  <si>
    <t>ONDO STATE AFORESTATION PROJECT</t>
  </si>
  <si>
    <t>ONDO STATE FOOTBALL ACADEMY</t>
  </si>
  <si>
    <t>UNIVERSITY OF MEDICAL SCIENCES TEACHING HOSPITAL</t>
  </si>
  <si>
    <t>GRANT TO PARASTATALS AND TERTIARY INSTITUTIONS</t>
  </si>
  <si>
    <t>Contingency/Additional</t>
  </si>
  <si>
    <r>
      <rPr>
        <b/>
        <sz val="9"/>
        <color theme="1"/>
        <rFont val="Times New Roman"/>
        <family val="1"/>
      </rPr>
      <t>ADMIN CODE: 052110200100:</t>
    </r>
    <r>
      <rPr>
        <sz val="9"/>
        <color theme="1"/>
        <rFont val="Times New Roman"/>
        <family val="1"/>
      </rPr>
      <t xml:space="preserve"> HOSPITAL MANAGEMENT BOARD</t>
    </r>
  </si>
  <si>
    <r>
      <t xml:space="preserve">ACCOUNTING OFFICER: </t>
    </r>
    <r>
      <rPr>
        <sz val="9"/>
        <rFont val="Times New Roman"/>
        <family val="1"/>
      </rPr>
      <t>PERMANENT SECRETARY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HOSPITAL MANAGEMENT BOARD</t>
    </r>
  </si>
  <si>
    <t>SPG- Printing of Employment/APER form e.t.c</t>
  </si>
  <si>
    <t>SPG- Security of State Specialist Hospitals and General Hospitals</t>
  </si>
  <si>
    <t>SPG- Cleaning of State Specialist Hospitals &amp; General Hospitals</t>
  </si>
  <si>
    <t>SPG- Monitoring/Board meetings/monthly meetings of all CMDS/MDS and Hospital Secretaries</t>
  </si>
  <si>
    <t>Hospital Management Board</t>
  </si>
  <si>
    <t>Ministry of Economic Planning and Budget</t>
  </si>
  <si>
    <r>
      <rPr>
        <b/>
        <sz val="9"/>
        <color theme="1"/>
        <rFont val="Times New Roman"/>
        <family val="1"/>
      </rPr>
      <t>ADMIN CODE: 023800100100:</t>
    </r>
    <r>
      <rPr>
        <sz val="9"/>
        <color theme="1"/>
        <rFont val="Times New Roman"/>
        <family val="1"/>
      </rPr>
      <t xml:space="preserve"> MINISTRY OF ECONOMIC PLANNING AND BUDGET</t>
    </r>
  </si>
  <si>
    <r>
      <t xml:space="preserve">ACCOUNTING OFFICER: </t>
    </r>
    <r>
      <rPr>
        <sz val="9"/>
        <rFont val="Times New Roman"/>
        <family val="1"/>
      </rPr>
      <t>PERMANENT SECRETARY, MINISTRY OF ECONOMIC PLANNING AND BUDGET</t>
    </r>
  </si>
  <si>
    <t>SPG- Conduct of Baseline Studies, Policy and Impact Assessment of Projects</t>
  </si>
  <si>
    <t>SPG- Standing Committee on Revenue</t>
  </si>
  <si>
    <t>SPG- Maintenance/Clearing of Premises</t>
  </si>
  <si>
    <t>SPG- Budget preparation and Allied Matters</t>
  </si>
  <si>
    <t>SPG- Strengthening of Planning Department (Establishment of State Planning Commission)</t>
  </si>
  <si>
    <t>SPG- Ondo State Manpower Committee</t>
  </si>
  <si>
    <t>SPG- Printing and Publication of Books of Estimates, Budget Speech, Supplementary Estimates, etc.</t>
  </si>
  <si>
    <t>SPG- Capacity Building and Professional Development Training Programmes</t>
  </si>
  <si>
    <t>SPG- National, State Planning and Economic Councils</t>
  </si>
  <si>
    <t>SPG- Budget Review, Monitoring and Appraisal</t>
  </si>
  <si>
    <t>SPG- State Food and Nutrition Committee</t>
  </si>
  <si>
    <t>SPG- Ondo State Social Protection Committee</t>
  </si>
  <si>
    <t>SPG- Strategic Initiatives for Rapid Economic Development of Ondo State</t>
  </si>
  <si>
    <t>SPG- State Development and Allied Matters</t>
  </si>
  <si>
    <t>SPG- Economic Summit</t>
  </si>
  <si>
    <t>SPG- Budget Reform, Preparation of MTEF and Allied Matters</t>
  </si>
  <si>
    <t>SPG- Project Monitoring, Impact Assessment and other Ancillary Activities</t>
  </si>
  <si>
    <t xml:space="preserve">SPG- Collaboration with Development Partners </t>
  </si>
  <si>
    <t>Ministry of Education Science and Technology</t>
  </si>
  <si>
    <r>
      <t xml:space="preserve">ADMIN CODE: 051700100100: </t>
    </r>
    <r>
      <rPr>
        <sz val="9"/>
        <color theme="1"/>
        <rFont val="Times New Roman"/>
        <family val="1"/>
      </rPr>
      <t>MINISTRY OF EDUCATION, SCIENCE AND TECHNOLOGY</t>
    </r>
  </si>
  <si>
    <r>
      <t xml:space="preserve">ACCOUNTING OFFICER:  </t>
    </r>
    <r>
      <rPr>
        <sz val="9"/>
        <rFont val="Times New Roman"/>
        <family val="1"/>
      </rPr>
      <t>PERMANENT SECRETARY, MINISTRY OF EDUCATION, SCIENCE AND TECHNOLOGY</t>
    </r>
  </si>
  <si>
    <t>SPG- Monitoring of Schools/Operational Vote</t>
  </si>
  <si>
    <t>SPG- Feeding &amp; Maintenance of 4 Special Schools</t>
  </si>
  <si>
    <t>SPG- J.S.S.C.E</t>
  </si>
  <si>
    <t>SPG- National Education Competition in Sec. Schools</t>
  </si>
  <si>
    <t>SPG- JETS Competitions</t>
  </si>
  <si>
    <t>SPG- Printing of C.A Documents</t>
  </si>
  <si>
    <t>SPG- School Examination (Unity Common Entrance Exams/GTC, etc)</t>
  </si>
  <si>
    <t>SPG- Schools Sport: Secondary Schools</t>
  </si>
  <si>
    <t>SPG- Training Programme for Education Officers, Education Managers and other Related Personnel</t>
  </si>
  <si>
    <t>SPG- Proficiency Exams in the 10 courses for Students at 24 SAC</t>
  </si>
  <si>
    <t>SPG- School Census, Data Analysis and Research</t>
  </si>
  <si>
    <t>SPG- National Education Conference including subject Assoc. for 56 core subjects, National Council on Education</t>
  </si>
  <si>
    <t>SPG- Guidance and Counseling Therapy on Career Choice for Students</t>
  </si>
  <si>
    <t>SPG- Examination Ethics &amp; Disciplinary Committee Programme.</t>
  </si>
  <si>
    <t>SPG- Education Watch Platform Programme (Public Information Programme in Education)</t>
  </si>
  <si>
    <t>SPG- Science Conference &amp; Diaspora Day Celebration.</t>
  </si>
  <si>
    <t>SPG- Collection, Collation &amp; Analysis of Education Statistics</t>
  </si>
  <si>
    <t>SPG- WAEC/SSCE/JAMB Monitoring</t>
  </si>
  <si>
    <t>SPG- Application of Psychology Test Instrument.</t>
  </si>
  <si>
    <t>SPG- Monitoring of Projects/Preparation of Tender documents</t>
  </si>
  <si>
    <t>SPG- National Open University of Nigeria, Akure Study Centre.</t>
  </si>
  <si>
    <t>SPG- STAN National Conference</t>
  </si>
  <si>
    <t>SPG- Procurement of Diesel, Petrol and Lubricant Distribution and Servicing</t>
  </si>
  <si>
    <t>SPG- Grants to Technical Colleges</t>
  </si>
  <si>
    <t>SPG- Student Final Exams NABTEB</t>
  </si>
  <si>
    <t>SPG- Unified College Diploma Examination</t>
  </si>
  <si>
    <t>SPG- Federal Labour Trade Test Exams</t>
  </si>
  <si>
    <t>SPG- Monitoring and Inspection of Colleges (GTC/TECH DEPT) In school</t>
  </si>
  <si>
    <t>SPG- SAC Trainers and Supervisors</t>
  </si>
  <si>
    <t>SPG- Adult Literacy Facilitators</t>
  </si>
  <si>
    <t>SPG- Science Based C.E.C Stipend to Facilitators (10 Facilitators N10,000.00 Each @7 Centres for 12 Months)</t>
  </si>
  <si>
    <t>SPG- Approval Inspection and Regulation of private CEC For IGR</t>
  </si>
  <si>
    <t>SPG- Stipend to Teacher at The 7 PHS</t>
  </si>
  <si>
    <t>SPG- Provision of Training/Learning Materials/Dossier and Fist AID Kits at SAC Centres, GTCs and PHS</t>
  </si>
  <si>
    <t>SPG- Stipend to facilitators of Liberal Education Centers (GOVT.C.E.C) (N10,000.00 Per 15 Teachers/Facilitators,7 Centres for 12 Months)</t>
  </si>
  <si>
    <t>SPG- Cleaning of the Secretariat Complex and other Government offices</t>
  </si>
  <si>
    <t>SPG- Provision of Security Services at State Secretariat Complex</t>
  </si>
  <si>
    <t>General Administration</t>
  </si>
  <si>
    <t>MINISTRY OF INFORMATION AND ORIENTATION</t>
  </si>
  <si>
    <t>Production of Calendars,Diaries,Christmas, Sallah Cards and other Souvenirs</t>
  </si>
  <si>
    <t>TOTAL: MINISTRY OF INFORMATION AND ORIENTATION</t>
  </si>
  <si>
    <t>SPG- Compliance Monitoring / Revenue/ Operation Monitoring and Other Allied Matters</t>
  </si>
  <si>
    <t>SPG- Preparation, Printing and Publication of Final Accounts</t>
  </si>
  <si>
    <t>SPG- E-Pass Centre/Computer Materials</t>
  </si>
  <si>
    <t>SPG- Security (Night and Day Guards) at TCO Offices</t>
  </si>
  <si>
    <t>SPG- World Bank Project Financial Management Activities Unit (PFMU)</t>
  </si>
  <si>
    <t>SPG- SIFMIS Operational Activities and Other Allied Matters</t>
  </si>
  <si>
    <t>SPG- National Competitions</t>
  </si>
  <si>
    <t>SPG- Zonal Elimination</t>
  </si>
  <si>
    <t>SPG- International Competitions</t>
  </si>
  <si>
    <t>SPG- Male and Female Handball</t>
  </si>
  <si>
    <t>SPG- Male and female Basketball</t>
  </si>
  <si>
    <t>SPG- Male and Female Hockey Teams</t>
  </si>
  <si>
    <t>SPG- Male and Female Volleyball Teams</t>
  </si>
  <si>
    <t>SPG- Male and Female Challenge Cup</t>
  </si>
  <si>
    <t>SPG- Governors Cup Football (Male and Female) and Age Group Football Competition.</t>
  </si>
  <si>
    <t>SPG- National Sports Festival (Camping)</t>
  </si>
  <si>
    <t>SPG- National Sports festival (Festival Proper)</t>
  </si>
  <si>
    <t>SPG- Developmental Programme for all Sports(Catch them Young)</t>
  </si>
  <si>
    <t>SPG- Hosting of National Competitions, Boxing and Gymnastics.</t>
  </si>
  <si>
    <t>SPG- Local in-service Training</t>
  </si>
  <si>
    <t>SPG- Allowance and Stipends of Athletes for NSF.</t>
  </si>
  <si>
    <t>SPG- Age Group, National and International Table Tennis Competition</t>
  </si>
  <si>
    <t>SPG- Management of Athletics Activities</t>
  </si>
  <si>
    <t>SPG- Payment of Stipend to Lecturers</t>
  </si>
  <si>
    <t>SPG- Cleaning Services</t>
  </si>
  <si>
    <t>SPG- Provision of Security to PSTI</t>
  </si>
  <si>
    <t>SPG- Donation</t>
  </si>
  <si>
    <t>SPG- Settlement of Hotel bills</t>
  </si>
  <si>
    <t>SPG- SEMA</t>
  </si>
  <si>
    <t>SPG- Attendance of State Functions on Behalf of the Governor</t>
  </si>
  <si>
    <t>SPG- Maintenance of Deputy Governor's Lodge</t>
  </si>
  <si>
    <t>SPG- Maintenance of Deputy Governor's Convoy Vehicles</t>
  </si>
  <si>
    <t>SPG- Community and Social Relations</t>
  </si>
  <si>
    <t>TOTAL: MINISTRY OF FINANCE</t>
  </si>
  <si>
    <t>Refurbishment and Maintenance of Vehicles and Office Equipment</t>
  </si>
  <si>
    <t>Upgrading of Computer Hardwares and Softwares for the Ministry</t>
  </si>
  <si>
    <r>
      <rPr>
        <b/>
        <sz val="9"/>
        <color theme="1"/>
        <rFont val="Times New Roman"/>
        <family val="1"/>
      </rPr>
      <t>ADMIN CODE: 031800100100:</t>
    </r>
    <r>
      <rPr>
        <sz val="9"/>
        <color theme="1"/>
        <rFont val="Times New Roman"/>
        <family val="1"/>
      </rPr>
      <t xml:space="preserve"> ONDO STATE JUDICIARY</t>
    </r>
  </si>
  <si>
    <r>
      <t xml:space="preserve">ACCOUNTING OFFICER: </t>
    </r>
    <r>
      <rPr>
        <sz val="9"/>
        <rFont val="Times New Roman"/>
        <family val="1"/>
      </rPr>
      <t>REGISTRER, ONDO STATE JUDICIARY</t>
    </r>
  </si>
  <si>
    <t>SPG- VEHICLE MAINTENANCE &amp; CONSUMABLES</t>
  </si>
  <si>
    <t>SPG- ANNUAL OUTFIT ALLOWANCE</t>
  </si>
  <si>
    <t>SPG- Training/Manpower Development</t>
  </si>
  <si>
    <t>SPG- Annual Bar Conference</t>
  </si>
  <si>
    <t>SPG- Annual Legal Year Celebration</t>
  </si>
  <si>
    <t>SPG- Annual Vacation Bonus</t>
  </si>
  <si>
    <t>SPG- Statutory Conference Workshop and Seminars for Judges and Magistrates</t>
  </si>
  <si>
    <t>SPG- Statutory Meeting of Body of Benchers NJC and NJI to be attended by Honourable Chief Judge</t>
  </si>
  <si>
    <t>SPG- Attendance at Courts</t>
  </si>
  <si>
    <t>SPG- Management of Family Court/Multi-door Court House</t>
  </si>
  <si>
    <t>Additional and contingency</t>
  </si>
  <si>
    <t>SPG- Maintenance and Fuelling of Generator</t>
  </si>
  <si>
    <t>Additional and Contingency</t>
  </si>
  <si>
    <t>Amount Spent Till Date</t>
  </si>
  <si>
    <t>Construction of Students Chairs and Lockers</t>
  </si>
  <si>
    <t>TOTAL: SCHOOL OF HEALTH TECHNOLOGY</t>
  </si>
  <si>
    <t>TOTAL: UNIVERSITY OF MEDICAL SCIENCES TEACHING HOSPITAL</t>
  </si>
  <si>
    <t>Take off Grant</t>
  </si>
  <si>
    <t>ELECTRICITY CHARGES</t>
  </si>
  <si>
    <t>PRINTING OF SECURITY DOCUMENTS</t>
  </si>
  <si>
    <t xml:space="preserve">LOCAL TRAINING </t>
  </si>
  <si>
    <t>WELFARE PACKAGES</t>
  </si>
  <si>
    <t>OTHER GOODS &amp; SERVICES</t>
  </si>
  <si>
    <t>Cocoa Revolution Office</t>
  </si>
  <si>
    <r>
      <rPr>
        <b/>
        <sz val="9"/>
        <color theme="1"/>
        <rFont val="Times New Roman"/>
        <family val="1"/>
      </rPr>
      <t>ADMIN CODE: 011105100100:</t>
    </r>
    <r>
      <rPr>
        <sz val="9"/>
        <color theme="1"/>
        <rFont val="Times New Roman"/>
        <family val="1"/>
      </rPr>
      <t xml:space="preserve"> POOLS BETTINGS AND LOTTERIES BOARD   </t>
    </r>
  </si>
  <si>
    <r>
      <rPr>
        <b/>
        <sz val="9"/>
        <color theme="1"/>
        <rFont val="Times New Roman"/>
        <family val="1"/>
      </rPr>
      <t>ADMIN CODE: 021511600100:</t>
    </r>
    <r>
      <rPr>
        <sz val="9"/>
        <color theme="1"/>
        <rFont val="Times New Roman"/>
        <family val="1"/>
      </rPr>
      <t xml:space="preserve"> COCOA REVOLUTION OFFICE </t>
    </r>
  </si>
  <si>
    <r>
      <t xml:space="preserve">ACCOUNTING OFFICER: </t>
    </r>
    <r>
      <rPr>
        <sz val="9"/>
        <rFont val="Times New Roman"/>
        <family val="1"/>
      </rPr>
      <t>SECRETARY, COCOA REVOLUTION OFFICE</t>
    </r>
  </si>
  <si>
    <r>
      <rPr>
        <b/>
        <sz val="9"/>
        <color theme="1"/>
        <rFont val="Times New Roman"/>
        <family val="1"/>
      </rPr>
      <t>ADMIN CODE: 022205100100:</t>
    </r>
    <r>
      <rPr>
        <sz val="9"/>
        <color theme="1"/>
        <rFont val="Times New Roman"/>
        <family val="1"/>
      </rPr>
      <t xml:space="preserve"> MICRO CREDIT AGENCY  </t>
    </r>
  </si>
  <si>
    <r>
      <t xml:space="preserve">ACCOUNTING OFFICER: </t>
    </r>
    <r>
      <rPr>
        <sz val="9"/>
        <rFont val="Times New Roman"/>
        <family val="1"/>
      </rPr>
      <t xml:space="preserve">SECRETARY, MICRO CREDIT AGENCY </t>
    </r>
  </si>
  <si>
    <r>
      <rPr>
        <b/>
        <sz val="9"/>
        <color theme="1"/>
        <rFont val="Times New Roman"/>
        <family val="1"/>
      </rPr>
      <t>ADMIN CODE: 011100100200:</t>
    </r>
    <r>
      <rPr>
        <sz val="9"/>
        <color theme="1"/>
        <rFont val="Times New Roman"/>
        <family val="1"/>
      </rPr>
      <t xml:space="preserve"> DEPUTY GOVERNOR'S OFFICE</t>
    </r>
  </si>
  <si>
    <r>
      <t xml:space="preserve">ACCOUNTING OFFICER:  </t>
    </r>
    <r>
      <rPr>
        <sz val="9"/>
        <rFont val="Times New Roman"/>
        <family val="1"/>
      </rPr>
      <t>PERMANENT SECRETARY, DEPUTY GOVERNOR'S OFFICE</t>
    </r>
  </si>
  <si>
    <r>
      <t xml:space="preserve">ACCOUNTING OFFICER:  </t>
    </r>
    <r>
      <rPr>
        <sz val="9"/>
        <rFont val="Times New Roman"/>
        <family val="1"/>
      </rPr>
      <t>PERMANENT SECRETARY, GENERAL ADMINISTRATION</t>
    </r>
  </si>
  <si>
    <r>
      <rPr>
        <b/>
        <sz val="9"/>
        <color theme="1"/>
        <rFont val="Times New Roman"/>
        <family val="1"/>
      </rPr>
      <t>ADMIN CODE: 053905100100:</t>
    </r>
    <r>
      <rPr>
        <sz val="9"/>
        <color theme="1"/>
        <rFont val="Times New Roman"/>
        <family val="1"/>
      </rPr>
      <t xml:space="preserve"> ONDO STATE SPORTS COUNCIL</t>
    </r>
  </si>
  <si>
    <r>
      <t xml:space="preserve">ACCOUNTING OFFICER:  </t>
    </r>
    <r>
      <rPr>
        <sz val="9"/>
        <rFont val="Times New Roman"/>
        <family val="1"/>
      </rPr>
      <t>GENERAL MANAGER, ONDO STATE SPORTS COUNCIL</t>
    </r>
  </si>
  <si>
    <r>
      <rPr>
        <b/>
        <sz val="9"/>
        <color theme="1"/>
        <rFont val="Times New Roman"/>
        <family val="1"/>
      </rPr>
      <t>ADMIN CODE: 022000700100:</t>
    </r>
    <r>
      <rPr>
        <sz val="9"/>
        <color theme="1"/>
        <rFont val="Times New Roman"/>
        <family val="1"/>
      </rPr>
      <t xml:space="preserve"> OFFICE OF THE ACCOUNTANT GENERAL</t>
    </r>
  </si>
  <si>
    <r>
      <t xml:space="preserve">ACCOUNTING OFFICER: </t>
    </r>
    <r>
      <rPr>
        <sz val="9"/>
        <rFont val="Times New Roman"/>
        <family val="1"/>
      </rPr>
      <t>ACCOUNTANT GENERAL, OFFICE OF THE ACCOUNTANT GENERAL</t>
    </r>
  </si>
  <si>
    <r>
      <t xml:space="preserve">ACCOUNTING OFFICER:  </t>
    </r>
    <r>
      <rPr>
        <sz val="9"/>
        <rFont val="Times New Roman"/>
        <family val="1"/>
      </rPr>
      <t>PERMANENT SECRETARY, PUBLIC SERVICE TRAINING INSTITUTE</t>
    </r>
  </si>
  <si>
    <r>
      <t xml:space="preserve">ACCOUNTING OFFICER: </t>
    </r>
    <r>
      <rPr>
        <sz val="9"/>
        <rFont val="Times New Roman"/>
        <family val="1"/>
      </rPr>
      <t>SECRETARY, LIAISON OFFICE, ABUJA</t>
    </r>
  </si>
  <si>
    <t>Sunshine Queens Football Club</t>
  </si>
  <si>
    <t>Approved 2018      Re-order</t>
  </si>
  <si>
    <t>PERSONNEL DETAILS</t>
  </si>
  <si>
    <r>
      <rPr>
        <b/>
        <sz val="9"/>
        <color theme="1"/>
        <rFont val="Times New Roman"/>
        <family val="1"/>
      </rPr>
      <t>ADMIN CODE: 051700300100:</t>
    </r>
    <r>
      <rPr>
        <sz val="9"/>
        <color theme="1"/>
        <rFont val="Times New Roman"/>
        <family val="1"/>
      </rPr>
      <t xml:space="preserve"> STATE UNIVERSAL BASIC EDUCATION BOARD (SUBEB) HEADQUARTERS</t>
    </r>
  </si>
  <si>
    <r>
      <t xml:space="preserve">ACCOUNTING OFFICER: </t>
    </r>
    <r>
      <rPr>
        <sz val="9"/>
        <rFont val="Times New Roman"/>
        <family val="1"/>
      </rPr>
      <t>PERMANENT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>SECRETARY, STATE UNIVERSAL BASIC EDUCATION BOARD (SUBEB) HEADQUARTERS</t>
    </r>
  </si>
  <si>
    <r>
      <t xml:space="preserve">ACCOUNTING OFFICER: </t>
    </r>
    <r>
      <rPr>
        <sz val="9"/>
        <rFont val="Times New Roman"/>
        <family val="1"/>
      </rPr>
      <t>SECRETARY,  POOLS BETTINGS AND LOTTERIES BOARD</t>
    </r>
  </si>
  <si>
    <t>Over Heads</t>
  </si>
  <si>
    <t>Deputy Governor's Office</t>
  </si>
  <si>
    <t>Public Service Training Institute</t>
  </si>
  <si>
    <t>Liason Office, Abuja</t>
  </si>
  <si>
    <t>Office of the Accountant General</t>
  </si>
  <si>
    <t>State Universal Basic Education Board (SUBEB)</t>
  </si>
  <si>
    <t>Ondo State Sports Council</t>
  </si>
  <si>
    <t>Ondo State Community And Social Development Agency</t>
  </si>
  <si>
    <t>Grants to Parastatals and Tertiary Institutions</t>
  </si>
  <si>
    <t>Ministry of Youths and Sports Development</t>
  </si>
  <si>
    <t>Customary Court of Appeal</t>
  </si>
  <si>
    <r>
      <t xml:space="preserve">                                                </t>
    </r>
    <r>
      <rPr>
        <b/>
        <sz val="13"/>
        <color theme="1"/>
        <rFont val="Times New Roman"/>
        <family val="1"/>
      </rPr>
      <t>YEAR 2018 RE-ORDERED CAPITAL ESTIMATES</t>
    </r>
  </si>
  <si>
    <r>
      <t>AMOUNT   (</t>
    </r>
    <r>
      <rPr>
        <b/>
        <strike/>
        <sz val="10"/>
        <color theme="1"/>
        <rFont val="Times New Roman"/>
        <family val="1"/>
      </rPr>
      <t>N</t>
    </r>
    <r>
      <rPr>
        <b/>
        <sz val="11"/>
        <color theme="1"/>
        <rFont val="Times New Roman"/>
        <family val="1"/>
      </rPr>
      <t>)</t>
    </r>
  </si>
  <si>
    <t>University Medical Sciences Teaching Hospital</t>
  </si>
  <si>
    <t>Ministry of Information and Orientation</t>
  </si>
  <si>
    <t>APPROVED 2018                 RE-ORDER</t>
  </si>
  <si>
    <t>Personnel Buffer</t>
  </si>
  <si>
    <t>TOTAL POOLED</t>
  </si>
  <si>
    <t>Ministry of Youth and Sports Development</t>
  </si>
  <si>
    <t>Ministry of Lands and Housing</t>
  </si>
  <si>
    <t>Ondo State School of Health Technology</t>
  </si>
  <si>
    <t>MINISTRY OF YOUTH AND SPORTS DEVELOPMENT</t>
  </si>
  <si>
    <t>TOTAL: MINISTRY OF YOUTH AND SPORTS DEVELOPMENT</t>
  </si>
  <si>
    <t>Establishment of Football Academy</t>
  </si>
  <si>
    <t>Roll back malaria</t>
  </si>
  <si>
    <t>Emergency Preparedness and Disease Surveillance</t>
  </si>
  <si>
    <t>08040001471102</t>
  </si>
  <si>
    <t>Ministry of Health</t>
  </si>
  <si>
    <t>SPG- Gift Items During Festivities: Christmas/Salah/Children Party</t>
  </si>
  <si>
    <t>SPG- Maintenance of Governor's Lodge and Convoy - Abuja</t>
  </si>
  <si>
    <r>
      <rPr>
        <b/>
        <sz val="9"/>
        <color theme="1"/>
        <rFont val="Times New Roman"/>
        <family val="1"/>
      </rPr>
      <t>ADMIN CODE: 022000800100:</t>
    </r>
    <r>
      <rPr>
        <sz val="9"/>
        <color theme="1"/>
        <rFont val="Times New Roman"/>
        <family val="1"/>
      </rPr>
      <t xml:space="preserve"> BOARD OF INTERNAL REVENUE</t>
    </r>
  </si>
  <si>
    <r>
      <t xml:space="preserve">ACCOUNTING OFFICER: </t>
    </r>
    <r>
      <rPr>
        <sz val="9"/>
        <rFont val="Times New Roman"/>
        <family val="1"/>
      </rPr>
      <t>CHAIRMAN, BOARD OF INTERNAL REVENUE</t>
    </r>
  </si>
  <si>
    <t>SPG- Purchase of Diesel/Maintenance of Electricity Generating Sets and Other Assets</t>
  </si>
  <si>
    <t>SPG- Commission to Revenue Consultant</t>
  </si>
  <si>
    <t>SPG- JTB meetings and conferences &amp; convention</t>
  </si>
  <si>
    <t>SPG- Annual JTB subvention &amp; other JTB expenses</t>
  </si>
  <si>
    <t>SPG- Mandatory Continuous Professional Development Training for tax Officers</t>
  </si>
  <si>
    <t>SPG- Subscription of Installed VSATS and Maintenance Retainership for ARCAS</t>
  </si>
  <si>
    <t>SPG- Cleaning and Security services</t>
  </si>
  <si>
    <t>SPG- Withholding, Audit, Monitoring and Investigation</t>
  </si>
  <si>
    <t>Board of Internal Revenue</t>
  </si>
  <si>
    <t>AMOUNT SPENT TILL DATE</t>
  </si>
  <si>
    <t>Payment of Guest Lecturer</t>
  </si>
  <si>
    <t>`</t>
  </si>
  <si>
    <t>012080001422403</t>
  </si>
  <si>
    <t>08040001151103</t>
  </si>
  <si>
    <t>09050000841206</t>
  </si>
  <si>
    <t>09050001242342</t>
  </si>
  <si>
    <t>02130000161808</t>
  </si>
  <si>
    <t>02130000911215</t>
  </si>
  <si>
    <t>03060000920902</t>
  </si>
  <si>
    <t>02090001254101</t>
  </si>
  <si>
    <t>02130001531214</t>
  </si>
  <si>
    <t>TOTAL: DEPUTY GOVERNOR'S OFFICE</t>
  </si>
  <si>
    <t>02060001290101</t>
  </si>
  <si>
    <t>Construction of New Governor and Deputy Governor Lodge</t>
  </si>
  <si>
    <t>Ondo State Signage Agency</t>
  </si>
  <si>
    <t>TOTAL: ONDO STATE SIGNAGE AGENCY</t>
  </si>
  <si>
    <t>02130000891202</t>
  </si>
  <si>
    <t>Construction and Erection of Billboards etc</t>
  </si>
  <si>
    <t>22100265</t>
  </si>
  <si>
    <t>TOTAL: MINISTRY OF ECONOMIC PLANNING AND BUDGET</t>
  </si>
  <si>
    <t>CONSOLIDATED REVENUE FUND CHARGE - SALARIES</t>
  </si>
  <si>
    <t>CONTRIBUTORY PENSION (EMPLOYERS)</t>
  </si>
  <si>
    <t>TOTAL: CONSOLIDATED REVENUE FUND CHARGES</t>
  </si>
  <si>
    <t>Consolidated Revenue Fund Charges - Salaries</t>
  </si>
  <si>
    <t>21010103</t>
  </si>
  <si>
    <t>21020202</t>
  </si>
  <si>
    <t>Contributory Pension (Employers)</t>
  </si>
  <si>
    <t>SPG- Grants/Maintenance of Mega Schools</t>
  </si>
  <si>
    <r>
      <t xml:space="preserve">ADMIN CODE: 051400100100: </t>
    </r>
    <r>
      <rPr>
        <sz val="9"/>
        <color theme="1"/>
        <rFont val="Times New Roman"/>
        <family val="1"/>
      </rPr>
      <t>MINISTRY OF WOMEN AFFAIRS AND SOCIAL DEVELOPMENT</t>
    </r>
  </si>
  <si>
    <r>
      <t xml:space="preserve">ACCOUNTING OFFICER:  </t>
    </r>
    <r>
      <rPr>
        <sz val="9"/>
        <rFont val="Times New Roman"/>
        <family val="1"/>
      </rPr>
      <t>PERMANENT SECRETARY, MINISTRY OF WOMEN AFFAIRS AND SOCIAL DEVELOPMENT</t>
    </r>
  </si>
  <si>
    <t>SPG- Publicity</t>
  </si>
  <si>
    <t>SPG- Commemoration of special international days: Women, Elderly, Family, the National Children Day and the Day of the African Child and Widows</t>
  </si>
  <si>
    <t>SPG- Armed Forces Remembrance Day</t>
  </si>
  <si>
    <t>SPG- Nigerian Inter-religious Council Activities</t>
  </si>
  <si>
    <t>SPG- Human Trafficking Control Programme</t>
  </si>
  <si>
    <t>SPG- Meeting of Her Excellency with Women Groups</t>
  </si>
  <si>
    <t>SPG- Management/Coordination and Subvention to NGOs</t>
  </si>
  <si>
    <t>SPG- Reduction of women's vulnerability to HIV/AID &amp; STDs</t>
  </si>
  <si>
    <t>SPG- Resettlement scheme for street children and monitoring of foster and adopted children</t>
  </si>
  <si>
    <t>SPG- Support programme for orphans and vulnerable children</t>
  </si>
  <si>
    <t>SPG- Support for Probation Case Committee and Family Court: Seminars, Management and Allowances for Family Court Panel</t>
  </si>
  <si>
    <t>SPG- Welfare Support for Elderly and all other Vulnerable groups/Emergency Services</t>
  </si>
  <si>
    <t>SPG- Sensitization of the Public on Child Abuse Practises on TV and Radio and Monitoring of Day Care Centres</t>
  </si>
  <si>
    <t>SPG- Women Enlightenment and Empowerment</t>
  </si>
  <si>
    <t>SPG- Feeding and Maintenance of State Children Home and the Remand Rome</t>
  </si>
  <si>
    <t>SPG- Maintenance of Babafunke Ajasin Auditorium</t>
  </si>
  <si>
    <t>SPG- Special Gbebiro Meetings</t>
  </si>
  <si>
    <t>SPG- Advocacy of Women Affairs Programme and Production of Women of Fame Document</t>
  </si>
  <si>
    <t>SPG- Participation of the Ministry in Trade Fairs</t>
  </si>
  <si>
    <t>SPG- Welfare of the Remand Home Visiting Committee</t>
  </si>
  <si>
    <t>SPG- Meeting of Honourable Commissioner with the Women group</t>
  </si>
  <si>
    <t>SPG- FOWOSO Programme</t>
  </si>
  <si>
    <t>Ministry of Women Affairs and Social Development</t>
  </si>
  <si>
    <t>Deduction</t>
  </si>
  <si>
    <t>32605200100</t>
  </si>
  <si>
    <t>APPROVED 2018 RE-ORDERED</t>
  </si>
  <si>
    <t xml:space="preserve">ADDITIONAL PROVISION        </t>
  </si>
  <si>
    <t xml:space="preserve">AMOUNT SPENT TILL DATE      </t>
  </si>
  <si>
    <t>Upgrading and Maintenance of Public Buildings including Legislators' Quarters</t>
  </si>
  <si>
    <t>02110000080101</t>
  </si>
  <si>
    <t>03060000202101</t>
  </si>
  <si>
    <t>03060000531204</t>
  </si>
  <si>
    <t>Feeding of Pupils in Selected Primary School GCC</t>
  </si>
  <si>
    <t>03050000800301</t>
  </si>
  <si>
    <t>Power support fund for reconnection of Ondo South communities</t>
  </si>
  <si>
    <t>Power Support fund for reconnection Outstanding Communities in Ondo North</t>
  </si>
  <si>
    <t>02100001070114</t>
  </si>
  <si>
    <t>02100001070113</t>
  </si>
  <si>
    <t>02100001070107</t>
  </si>
  <si>
    <t>Support for Mini Grid</t>
  </si>
  <si>
    <t>026100100100</t>
  </si>
  <si>
    <t>Office of Public Utilities</t>
  </si>
  <si>
    <t>Hospitals Infection Control</t>
  </si>
  <si>
    <t>02140000180103</t>
  </si>
  <si>
    <t xml:space="preserve">33KVA Double Circuit Power line </t>
  </si>
  <si>
    <t>TOTAL: ONDO STATE ELECTRICITY BOARD</t>
  </si>
  <si>
    <t>Electrification Projects and Strengthening of Existing Network across the State</t>
  </si>
  <si>
    <t>04140001301409</t>
  </si>
  <si>
    <t>Excess Crude  Account</t>
  </si>
  <si>
    <t>Restructured Commercial Bank Loan (FGN Bond)</t>
  </si>
  <si>
    <t>Budget Support Facility</t>
  </si>
  <si>
    <t xml:space="preserve">Bond </t>
  </si>
  <si>
    <t>2017 Vehicle Lease</t>
  </si>
  <si>
    <t>UBEC/SUBEB</t>
  </si>
  <si>
    <t>FACILITY</t>
  </si>
  <si>
    <t>PRINCIPAL AMOUNT (N)</t>
  </si>
  <si>
    <t>2018 PRINCIPAL REPAYMENT (N)</t>
  </si>
  <si>
    <t>Approved Estimates 2017           (N)</t>
  </si>
  <si>
    <t>Estimates 2018 (N)</t>
  </si>
  <si>
    <t>OFFICE OF THE SPECIAL ADVISERS TO THE GOVERNOR</t>
  </si>
  <si>
    <t>MINISTRY OF REGIONAL INTEGRATION AND SPECIAL DUTIES</t>
  </si>
  <si>
    <t>INDUSTRIAL AND LABOUR RELATIONS OFFICE</t>
  </si>
  <si>
    <t>MINISTRY OF AGRICULTURE</t>
  </si>
  <si>
    <t>MINISTRY OF COMMERCE, INDUSTRIES AND COOPERATIVES</t>
  </si>
  <si>
    <t>STATE INFORMATION TECHNOLOGY AGENCY (SITA) AREA OFFICES</t>
  </si>
  <si>
    <t>OFFICE OF TRANSPORT</t>
  </si>
  <si>
    <t>OFFICE OF TRANSPORT-VEHICLE INSPECTION (AREA) OFFICE AND INLAND WATERWAYS</t>
  </si>
  <si>
    <t>MINISTRY OF NATURAL RESOURCES</t>
  </si>
  <si>
    <t>MINISTRY OF WORKS AND INFRASTRUCTURE</t>
  </si>
  <si>
    <t>MANPOWER DEVELOPMENT/MEMIS PROJECT OFFICES</t>
  </si>
  <si>
    <t>YOUTH EMPLOYMENT AND SOCIAL SUPPORT OPERATIONS (YESSO)</t>
  </si>
  <si>
    <t>ONDO STATE RURAL WATER SUPPLY AND SANITATION AGENCY (RUWASSA)</t>
  </si>
  <si>
    <t>MINISTRY OF EDUCATION, SCIENCE AND TECHNOLOGY</t>
  </si>
  <si>
    <t>BOARD OF ADULT, TECHNICAL AND VOCATIONAL EDUCATION</t>
  </si>
  <si>
    <t>PRIMARY HEALTH CARE MANAGEMENT BOARD</t>
  </si>
  <si>
    <t>DIRECTORATE OF RURAL AND COMMUNITY DEVELOPMENT</t>
  </si>
  <si>
    <t>GRANTS TO PARASTATALS</t>
  </si>
  <si>
    <t>GRANTS AND LOANS</t>
  </si>
  <si>
    <t>OWENA PRESS</t>
  </si>
  <si>
    <t>TOTAL: INTER-GOVERNMENTAL AFFAIRS AND MULTILATERAL RELATIONS</t>
  </si>
  <si>
    <t>vi</t>
  </si>
  <si>
    <t>vii</t>
  </si>
  <si>
    <t>viii</t>
  </si>
  <si>
    <t>ix</t>
  </si>
  <si>
    <t>DETAILS OF POOLED FUND UNDER PERSONNEL COST</t>
  </si>
  <si>
    <t>DETAILS OF POOLED FUND UNDER SPECIAL PROGRAMME</t>
  </si>
  <si>
    <t>SPECIAL PROGRAMME</t>
  </si>
  <si>
    <t>052102600100</t>
  </si>
  <si>
    <t>SPG- Capacity Building and Professional Development Training Programme</t>
  </si>
  <si>
    <t>Ondo State Electricity Board (OSEB)</t>
  </si>
  <si>
    <t>ONDO STATE OF NIGERIA, ESTIMATES 2018</t>
  </si>
  <si>
    <t>PROPOSED RE-ORDER EXPENDITURE</t>
  </si>
  <si>
    <t>OVERALL SUMMARY OF PROPOSED RE-ORDERED BUDGET 2018</t>
  </si>
  <si>
    <t>YEAR 2018 PROPOSED RE-ORDERED RECURRENT ESTIMATES</t>
  </si>
  <si>
    <t>SUMMARY OF ALLOCATION OF POOLED FUND</t>
  </si>
  <si>
    <t>YEAR 2018 PROPOSED RE-ORDERED BUDGET</t>
  </si>
  <si>
    <t>PROPOSED PERSONNEL RE-ORDERED ESTIMATES, 2018</t>
  </si>
  <si>
    <t>CAPITAL PROPOSED RE-ORDERED ESTIMATES, 2018</t>
  </si>
  <si>
    <t>YEAR 2018 PROPOSED RE-ORDERED CAPITAL ESTIMATES</t>
  </si>
  <si>
    <t>SPG- Furniture/Severance Allowance for Members of Ondo State House of Assembly/Political Appointees</t>
  </si>
  <si>
    <t>TOTAL: POLITICAL AND ECONOMIC AFFAIRS DEPARTMENT</t>
  </si>
  <si>
    <t>Ministry of Physical Planning and Urban Development</t>
  </si>
  <si>
    <t>MINISTRY OF PHYSICAL PLANNING AND URBAN DEVELOPMET</t>
  </si>
  <si>
    <t>DITRECTORATE OF RURAL AND COMMUNITY DEVELOPMENT</t>
  </si>
  <si>
    <t>Personnel Arrears</t>
  </si>
  <si>
    <t>Directorate of Rural and Community Development</t>
  </si>
  <si>
    <t>TOTAL: POOLS BETTINGS AND LOTTERIES BOARD</t>
  </si>
  <si>
    <t>Promotion of Sunshine Lotto</t>
  </si>
  <si>
    <t>Lottery Multi Printing Machine for 18 Local Government Areas</t>
  </si>
  <si>
    <t>Purchase of Computers, Photocopiers, Scanners, Laminating Machines</t>
  </si>
  <si>
    <t>01120004310101</t>
  </si>
  <si>
    <t>01120004310102</t>
  </si>
  <si>
    <t>01120004310103</t>
  </si>
  <si>
    <t>011105100100</t>
  </si>
  <si>
    <t>SPG- Maintenance of Landscape and Beautiful Sites</t>
  </si>
  <si>
    <t>22100597</t>
  </si>
  <si>
    <t>22100467</t>
  </si>
  <si>
    <t>22100367</t>
  </si>
  <si>
    <t>22100638</t>
  </si>
  <si>
    <t>22100443</t>
  </si>
  <si>
    <r>
      <t xml:space="preserve">ACCOUNTING OFFICER: </t>
    </r>
    <r>
      <rPr>
        <sz val="9"/>
        <rFont val="Times New Roman"/>
        <family val="1"/>
      </rPr>
      <t>PERMANENT SECRETARY</t>
    </r>
    <r>
      <rPr>
        <b/>
        <sz val="9"/>
        <rFont val="Times New Roman"/>
        <family val="1"/>
      </rPr>
      <t xml:space="preserve"> </t>
    </r>
    <r>
      <rPr>
        <sz val="9"/>
        <rFont val="Times New Roman"/>
        <family val="1"/>
      </rPr>
      <t xml:space="preserve"> MINISTRY OF ENVIRONMENT</t>
    </r>
  </si>
  <si>
    <r>
      <rPr>
        <b/>
        <sz val="9"/>
        <color theme="1"/>
        <rFont val="Times New Roman"/>
        <family val="1"/>
      </rPr>
      <t>ADMIN CODE: 053500100100:</t>
    </r>
    <r>
      <rPr>
        <sz val="9"/>
        <color theme="1"/>
        <rFont val="Times New Roman"/>
        <family val="1"/>
      </rPr>
      <t xml:space="preserve"> MINISTRY OF ENVIRONMENT</t>
    </r>
  </si>
  <si>
    <t>SPG- Monitoring Enforcement</t>
  </si>
  <si>
    <t>SPG- Environmental Reletaed Days, World Environmental Day,National Sanitation Day,National Council On Environment, Emergency Rapid Response</t>
  </si>
  <si>
    <t>Ministry of Environment</t>
  </si>
  <si>
    <t>053500100100</t>
  </si>
  <si>
    <t>SUBVENTION ARREARS</t>
  </si>
  <si>
    <t>Transfer From Capital</t>
  </si>
  <si>
    <t>Transfer to Recurrent</t>
  </si>
  <si>
    <t>Balance</t>
  </si>
  <si>
    <t>TOTAL: ONDO STATE INDEPENDENT ELECTORAL COMMISSION (ODIEC)</t>
  </si>
  <si>
    <t>05130001450101</t>
  </si>
  <si>
    <t>Conduct of Local Government Election</t>
  </si>
  <si>
    <t>05120000162201</t>
  </si>
  <si>
    <t>Investible Fund</t>
  </si>
  <si>
    <t>Renovation of Other Schools</t>
  </si>
  <si>
    <t>02050000220205</t>
  </si>
  <si>
    <t>TOTAL: MINISTRY OF EDUCATION, SCIENCE AND TECHNOLOGY</t>
  </si>
  <si>
    <t>TOTAL: MINISTRY OF COMMERCE, INDUSTRIES AND COOPERATIVES</t>
  </si>
  <si>
    <t>Special Intervention in Agriculture</t>
  </si>
  <si>
    <t>01010000061012</t>
  </si>
  <si>
    <t>TOTAL: MINISTRY OF AGRICULTURE</t>
  </si>
  <si>
    <t xml:space="preserve">Establishment of new 2,000 hectares of cocoa plantation at N432,000/ha = N864.0m Uptaking of 2.5m Cocoa Seedling = 35x2.5m =N87.5m </t>
  </si>
  <si>
    <t>01010000390214</t>
  </si>
  <si>
    <t>TOTAL: COCOA REVOLUTION OFFICE</t>
  </si>
  <si>
    <t>Renovation and Equipment for the Chocolate Academy</t>
  </si>
  <si>
    <t>01010001470202</t>
  </si>
  <si>
    <t>Treasury House/Project financial management Unit Building</t>
  </si>
  <si>
    <t>02130000200608</t>
  </si>
  <si>
    <t>TOTAL: OFFICE OF THE ACCOUNTANT GENERAL</t>
  </si>
  <si>
    <t>02090000040120</t>
  </si>
  <si>
    <t>New Map (Counterpart Contribution)</t>
  </si>
  <si>
    <t>Renovation of Government Technical Colleges in the State</t>
  </si>
  <si>
    <t>02130000560104</t>
  </si>
  <si>
    <t>TOTAL: BOARD OF ADULT, TECHNICAL AND VOCATIONAL EDUCATION</t>
  </si>
  <si>
    <t>02120001130101</t>
  </si>
  <si>
    <t>Development and Management of Ondo State Free Trade Zone</t>
  </si>
  <si>
    <t>TOTAL: ONDO STATE INVESTMENT PROMOTION AGENCY (ONDIPA)</t>
  </si>
  <si>
    <t>French Development Agency (AFD) Water Facility (GCC)</t>
  </si>
  <si>
    <t>05100000840101</t>
  </si>
  <si>
    <t>TOTAL: ONDO STATE WATER CORPORATION</t>
  </si>
  <si>
    <t>Capacity Building for Ex-Militants</t>
  </si>
  <si>
    <t>Empowerment Programme for Ex-Militants</t>
  </si>
  <si>
    <t>05080001500201</t>
  </si>
  <si>
    <t>05080001500202</t>
  </si>
  <si>
    <t>OSAEC Project</t>
  </si>
  <si>
    <t>Broilers Out growers Production Activities</t>
  </si>
  <si>
    <t>01010001401501</t>
  </si>
  <si>
    <t>01010001510201</t>
  </si>
  <si>
    <t>TOTAL: ACCELERATED POVERTY ALLEVIATION AGENCY (APAA)</t>
  </si>
  <si>
    <t>TOTAL: MINISTRY OF REGIONAL INTEGRATION AND SPECIAL DUTIES</t>
  </si>
  <si>
    <t>02100000660102</t>
  </si>
  <si>
    <t>Special Intervention on Ministry's Programmes and other Sundry Projects</t>
  </si>
  <si>
    <t>Geo-physical Survey of Bitumen Sites</t>
  </si>
  <si>
    <t>02100000660101</t>
  </si>
  <si>
    <t>02170000630301</t>
  </si>
  <si>
    <t>Purchase of 2 nos Toyota Hilux Vans @N20m each</t>
  </si>
  <si>
    <t>Establishment/Management of Deep Sea Port</t>
  </si>
  <si>
    <t>02120001150101</t>
  </si>
  <si>
    <t>Purchase of 2{no} Hilux vehicles</t>
  </si>
  <si>
    <t>05100001230103</t>
  </si>
  <si>
    <t>Confidence Building Projects</t>
  </si>
  <si>
    <t>05100000590103</t>
  </si>
  <si>
    <t xml:space="preserve">04090000042702  </t>
  </si>
  <si>
    <t>Valuation of Government Assets (Properties/Plants/Equipment etc.) in compliance with IPSAS Accrual concept.</t>
  </si>
  <si>
    <t>051702100100</t>
  </si>
  <si>
    <t>TOTAL: ADEKUNLE AJASIN UNIVERSITY, AKUNGBA AKOKO</t>
  </si>
  <si>
    <t>Special Intervention Fund</t>
  </si>
  <si>
    <t>TOTAL: RUFUS GIWA POLYTECHNIC, OWO</t>
  </si>
  <si>
    <t>051701800100</t>
  </si>
  <si>
    <t>03050004320201</t>
  </si>
  <si>
    <t>03050004330201</t>
  </si>
  <si>
    <t>Rufus Giwa Polytechnic, Owo</t>
  </si>
  <si>
    <t>Adekunle Ajasin University, Akungba Akoko</t>
  </si>
  <si>
    <t>TOTAL: STATE HOUSE OF ASSEMBLY</t>
  </si>
  <si>
    <t>Renovation of Parliamentary Building and Admin Block, Replacement of Windows and Doors at Various Entrances and Installation of Bullet-Proof Doors in Speaker's Office</t>
  </si>
  <si>
    <t>04130000940604</t>
  </si>
  <si>
    <t>011200300100</t>
  </si>
  <si>
    <t>02130000591801</t>
  </si>
  <si>
    <t>Printing of Calendar and Desk Diary</t>
  </si>
  <si>
    <t>State House of Assembly</t>
  </si>
  <si>
    <t>Mechanical/Manual Channelization Across the State/Clearing of Water Hyacinth</t>
  </si>
  <si>
    <t>02090000040101</t>
  </si>
  <si>
    <r>
      <t xml:space="preserve">ADMIN CODE: 011101300200: </t>
    </r>
    <r>
      <rPr>
        <sz val="9"/>
        <color theme="1"/>
        <rFont val="Times New Roman"/>
        <family val="1"/>
      </rPr>
      <t>GENERAL ADMINISTRATION</t>
    </r>
  </si>
  <si>
    <r>
      <t xml:space="preserve">ADMIN CODE: 011102100200: </t>
    </r>
    <r>
      <rPr>
        <sz val="9"/>
        <color theme="1"/>
        <rFont val="Times New Roman"/>
        <family val="1"/>
      </rPr>
      <t>LIAISON OFFICE, ABUJA</t>
    </r>
  </si>
  <si>
    <r>
      <t xml:space="preserve">ADMIN CODE: 012500600100: </t>
    </r>
    <r>
      <rPr>
        <sz val="9"/>
        <color theme="1"/>
        <rFont val="Times New Roman"/>
        <family val="1"/>
      </rPr>
      <t>PUBLIC SERVICE TRAINING INSTITUTE</t>
    </r>
  </si>
  <si>
    <r>
      <t xml:space="preserve">ADMIN CODE: 055200200100: </t>
    </r>
    <r>
      <rPr>
        <sz val="9"/>
        <color theme="1"/>
        <rFont val="Times New Roman"/>
        <family val="1"/>
      </rPr>
      <t>ONDO STATE COMMUNITY AND SOCIAL DEVELOPMENT AGENCY</t>
    </r>
  </si>
  <si>
    <t>0.00</t>
  </si>
  <si>
    <t>Amount Deducted</t>
  </si>
  <si>
    <t xml:space="preserve">2018 FIRST SCHEDULE </t>
  </si>
  <si>
    <t>2018 SECOND SCHEDULE</t>
  </si>
  <si>
    <t>Total Capital Allocation (Re-allocatiom)</t>
  </si>
  <si>
    <t>DEBT SERVICE</t>
  </si>
  <si>
    <t>STATUTORY TRANSFERS</t>
  </si>
  <si>
    <r>
      <t xml:space="preserve">ACCOUNTING OFFICER:  </t>
    </r>
    <r>
      <rPr>
        <sz val="9"/>
        <rFont val="Times New Roman"/>
        <family val="1"/>
      </rPr>
      <t>GENERAL MANAGER, ONDO STATE COMMUNITY AND SOCIAL DEVELOPMENT AGENCY</t>
    </r>
  </si>
  <si>
    <t>08040000721208</t>
  </si>
  <si>
    <t>Purchase of office equipments</t>
  </si>
  <si>
    <t>Trauma Centre</t>
  </si>
  <si>
    <t>08040000261151</t>
  </si>
  <si>
    <t>PRINTING OF NON SECURITY DOCUMENTS</t>
  </si>
  <si>
    <t>TOTAL: MINISTRY OF WOMEN AFFAIRS AND SOCIAL DEVELOPMENT</t>
  </si>
  <si>
    <t>Maintenance of transmitter equipment and Spare Parts</t>
  </si>
  <si>
    <t>02020000702602</t>
  </si>
  <si>
    <t>Design, Deployment and Commissioning of Websites For Orange 94.5 FM, Installation of Suitable Accounting Software</t>
  </si>
  <si>
    <t>Total Rehabilitation of Station and Studio complex physical infrastructure.</t>
  </si>
  <si>
    <t>04130000941208</t>
  </si>
  <si>
    <t>TOTAL: ORANGE FM</t>
  </si>
  <si>
    <t>012300400200</t>
  </si>
  <si>
    <t>Procurement of 154395 Litres of Diesel @205/Litre to Run the Station 2 Nos of KVA Caterpillar Generators with Consumption Rate of 25 Liters/Hour for 20 Hours/Day.</t>
  </si>
  <si>
    <t>02110000920301</t>
  </si>
  <si>
    <t>Orange FM</t>
  </si>
  <si>
    <t>04040004460101</t>
  </si>
  <si>
    <t>22100228</t>
  </si>
  <si>
    <t>SPG- Capacity Building</t>
  </si>
  <si>
    <t>02110000911210</t>
  </si>
  <si>
    <t>04040000980101</t>
  </si>
  <si>
    <t>Establishment of Cancer Treatment Center, Owo</t>
  </si>
</sst>
</file>

<file path=xl/styles.xml><?xml version="1.0" encoding="utf-8"?>
<styleSheet xmlns="http://schemas.openxmlformats.org/spreadsheetml/2006/main">
  <numFmts count="5">
    <numFmt numFmtId="41" formatCode="_(* #,##0_);_(* \(#,##0\);_(* &quot;-&quot;_);_(@_)"/>
    <numFmt numFmtId="43" formatCode="_(* #,##0.00_);_(* \(#,##0.00\);_(* &quot;-&quot;??_);_(@_)"/>
    <numFmt numFmtId="164" formatCode="0;[Red]0"/>
    <numFmt numFmtId="165" formatCode="0.000"/>
    <numFmt numFmtId="166" formatCode="0_);\(0\)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.5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8"/>
      <color theme="1"/>
      <name val="Calibri"/>
      <family val="2"/>
      <scheme val="minor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trike/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  <font>
      <sz val="8"/>
      <color rgb="FF000000"/>
      <name val="Times New Roman"/>
      <family val="1"/>
    </font>
    <font>
      <sz val="7"/>
      <color rgb="FF000000"/>
      <name val="Times New Roman"/>
      <family val="1"/>
    </font>
    <font>
      <sz val="9"/>
      <color rgb="FF000000"/>
      <name val="Tahoma"/>
      <family val="2"/>
    </font>
    <font>
      <sz val="8"/>
      <color rgb="FF000000"/>
      <name val="Tahoma"/>
      <family val="2"/>
    </font>
    <font>
      <sz val="7"/>
      <color rgb="FF000000"/>
      <name val="Tahoma"/>
      <family val="2"/>
    </font>
    <font>
      <b/>
      <sz val="6"/>
      <color theme="1"/>
      <name val="Times New Roman"/>
      <family val="1"/>
    </font>
    <font>
      <sz val="7"/>
      <color theme="1"/>
      <name val="Calibri"/>
      <family val="2"/>
      <scheme val="minor"/>
    </font>
    <font>
      <sz val="4.8"/>
      <color theme="1"/>
      <name val="Calibri"/>
      <family val="2"/>
      <scheme val="minor"/>
    </font>
    <font>
      <sz val="7"/>
      <name val="Calibri"/>
      <family val="2"/>
      <scheme val="minor"/>
    </font>
    <font>
      <sz val="8"/>
      <color rgb="FFFF000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b/>
      <sz val="8"/>
      <name val="Times New Roman"/>
      <family val="1"/>
    </font>
    <font>
      <sz val="7.5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7"/>
      <color rgb="FF000000"/>
      <name val="Tahoma"/>
      <family val="2"/>
    </font>
    <font>
      <sz val="11"/>
      <color rgb="FFFF0000"/>
      <name val="Times New Roman"/>
      <family val="1"/>
    </font>
    <font>
      <sz val="8"/>
      <color rgb="FFFF0000"/>
      <name val="Tahoma"/>
      <family val="2"/>
    </font>
    <font>
      <b/>
      <sz val="8"/>
      <color rgb="FFFF0000"/>
      <name val="Times New Roman"/>
      <family val="1"/>
    </font>
    <font>
      <sz val="7.5"/>
      <name val="Times New Roman"/>
      <family val="1"/>
    </font>
    <font>
      <b/>
      <sz val="6"/>
      <name val="Calibri"/>
      <family val="2"/>
      <scheme val="minor"/>
    </font>
    <font>
      <sz val="9"/>
      <color rgb="FFFF0000"/>
      <name val="Times New Roman"/>
      <family val="1"/>
    </font>
    <font>
      <sz val="9"/>
      <color rgb="FFFF0000"/>
      <name val="Tahoma"/>
      <family val="2"/>
    </font>
    <font>
      <sz val="10"/>
      <color rgb="FFFF0000"/>
      <name val="Times New Roman"/>
      <family val="1"/>
    </font>
    <font>
      <sz val="11"/>
      <color rgb="FF0070C0"/>
      <name val="Times New Roman"/>
      <family val="1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8D8D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706">
    <xf numFmtId="0" fontId="0" fillId="0" borderId="0" xfId="0"/>
    <xf numFmtId="0" fontId="2" fillId="0" borderId="0" xfId="0" applyFont="1"/>
    <xf numFmtId="43" fontId="2" fillId="0" borderId="0" xfId="1" applyFont="1"/>
    <xf numFmtId="43" fontId="0" fillId="0" borderId="0" xfId="0" applyNumberFormat="1"/>
    <xf numFmtId="43" fontId="0" fillId="0" borderId="0" xfId="1" applyFont="1"/>
    <xf numFmtId="43" fontId="7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wrapText="1"/>
    </xf>
    <xf numFmtId="0" fontId="0" fillId="0" borderId="0" xfId="0" applyBorder="1"/>
    <xf numFmtId="43" fontId="0" fillId="0" borderId="0" xfId="0" applyNumberFormat="1" applyBorder="1"/>
    <xf numFmtId="164" fontId="8" fillId="0" borderId="0" xfId="0" applyNumberFormat="1" applyFont="1" applyBorder="1"/>
    <xf numFmtId="4" fontId="8" fillId="0" borderId="0" xfId="0" applyNumberFormat="1" applyFont="1" applyBorder="1"/>
    <xf numFmtId="164" fontId="0" fillId="0" borderId="0" xfId="0" applyNumberFormat="1"/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164" fontId="0" fillId="0" borderId="0" xfId="0" applyNumberForma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8" fillId="0" borderId="0" xfId="1" applyFont="1" applyBorder="1" applyAlignment="1">
      <alignment horizontal="left"/>
    </xf>
    <xf numFmtId="164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vertical="center"/>
    </xf>
    <xf numFmtId="43" fontId="9" fillId="0" borderId="0" xfId="1" applyFont="1" applyBorder="1"/>
    <xf numFmtId="0" fontId="9" fillId="0" borderId="0" xfId="0" applyNumberFormat="1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3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ont="1"/>
    <xf numFmtId="0" fontId="4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/>
    <xf numFmtId="0" fontId="0" fillId="0" borderId="1" xfId="0" applyBorder="1"/>
    <xf numFmtId="0" fontId="6" fillId="0" borderId="0" xfId="0" applyFont="1" applyBorder="1"/>
    <xf numFmtId="43" fontId="12" fillId="0" borderId="4" xfId="0" applyNumberFormat="1" applyFont="1" applyBorder="1" applyAlignment="1">
      <alignment horizontal="center"/>
    </xf>
    <xf numFmtId="49" fontId="14" fillId="0" borderId="1" xfId="0" applyNumberFormat="1" applyFont="1" applyBorder="1"/>
    <xf numFmtId="43" fontId="11" fillId="0" borderId="1" xfId="1" applyFont="1" applyBorder="1"/>
    <xf numFmtId="0" fontId="14" fillId="2" borderId="1" xfId="0" applyFont="1" applyFill="1" applyBorder="1" applyAlignment="1">
      <alignment horizontal="center" vertical="center" wrapText="1"/>
    </xf>
    <xf numFmtId="43" fontId="16" fillId="0" borderId="1" xfId="1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13" fillId="0" borderId="1" xfId="0" applyFont="1" applyBorder="1" applyAlignment="1">
      <alignment horizontal="right" wrapText="1"/>
    </xf>
    <xf numFmtId="0" fontId="14" fillId="2" borderId="0" xfId="0" applyFont="1" applyFill="1" applyBorder="1" applyAlignment="1">
      <alignment horizontal="center" vertical="center" wrapText="1"/>
    </xf>
    <xf numFmtId="43" fontId="13" fillId="0" borderId="0" xfId="1" applyFont="1" applyBorder="1"/>
    <xf numFmtId="0" fontId="0" fillId="0" borderId="0" xfId="0" applyAlignment="1">
      <alignment wrapText="1"/>
    </xf>
    <xf numFmtId="49" fontId="6" fillId="0" borderId="0" xfId="0" applyNumberFormat="1" applyFont="1" applyBorder="1"/>
    <xf numFmtId="0" fontId="5" fillId="0" borderId="0" xfId="0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23" fillId="0" borderId="0" xfId="0" applyFont="1" applyBorder="1"/>
    <xf numFmtId="0" fontId="23" fillId="0" borderId="0" xfId="0" applyFont="1" applyBorder="1" applyAlignment="1">
      <alignment wrapText="1"/>
    </xf>
    <xf numFmtId="0" fontId="24" fillId="0" borderId="1" xfId="0" applyFont="1" applyFill="1" applyBorder="1" applyAlignment="1">
      <alignment horizontal="right" wrapText="1"/>
    </xf>
    <xf numFmtId="4" fontId="24" fillId="0" borderId="1" xfId="0" applyNumberFormat="1" applyFont="1" applyBorder="1"/>
    <xf numFmtId="0" fontId="22" fillId="0" borderId="1" xfId="0" applyFont="1" applyBorder="1"/>
    <xf numFmtId="0" fontId="14" fillId="2" borderId="1" xfId="0" applyFont="1" applyFill="1" applyBorder="1" applyAlignment="1">
      <alignment horizontal="center" wrapText="1"/>
    </xf>
    <xf numFmtId="43" fontId="14" fillId="0" borderId="1" xfId="1" applyFont="1" applyBorder="1" applyAlignment="1">
      <alignment wrapText="1"/>
    </xf>
    <xf numFmtId="0" fontId="22" fillId="0" borderId="1" xfId="0" applyFont="1" applyBorder="1" applyAlignment="1">
      <alignment horizontal="right" wrapText="1"/>
    </xf>
    <xf numFmtId="43" fontId="14" fillId="0" borderId="1" xfId="1" applyFont="1" applyBorder="1"/>
    <xf numFmtId="43" fontId="15" fillId="3" borderId="1" xfId="1" applyFont="1" applyFill="1" applyBorder="1" applyAlignment="1">
      <alignment horizontal="center" wrapText="1"/>
    </xf>
    <xf numFmtId="43" fontId="6" fillId="0" borderId="0" xfId="0" applyNumberFormat="1" applyFont="1" applyBorder="1"/>
    <xf numFmtId="49" fontId="0" fillId="0" borderId="0" xfId="0" applyNumberFormat="1" applyAlignment="1">
      <alignment wrapText="1"/>
    </xf>
    <xf numFmtId="43" fontId="11" fillId="0" borderId="0" xfId="1" applyFont="1" applyAlignment="1">
      <alignment wrapText="1"/>
    </xf>
    <xf numFmtId="43" fontId="28" fillId="0" borderId="0" xfId="1" applyFont="1" applyAlignment="1">
      <alignment wrapText="1"/>
    </xf>
    <xf numFmtId="49" fontId="14" fillId="0" borderId="0" xfId="0" applyNumberFormat="1" applyFont="1" applyAlignment="1">
      <alignment horizontal="right" wrapText="1"/>
    </xf>
    <xf numFmtId="43" fontId="0" fillId="0" borderId="0" xfId="1" applyFont="1" applyAlignment="1">
      <alignment wrapText="1"/>
    </xf>
    <xf numFmtId="49" fontId="14" fillId="0" borderId="0" xfId="0" applyNumberFormat="1" applyFont="1" applyAlignment="1">
      <alignment horizontal="center" wrapText="1"/>
    </xf>
    <xf numFmtId="0" fontId="18" fillId="4" borderId="18" xfId="0" applyFont="1" applyFill="1" applyBorder="1" applyAlignment="1">
      <alignment wrapText="1"/>
    </xf>
    <xf numFmtId="49" fontId="18" fillId="4" borderId="18" xfId="0" applyNumberFormat="1" applyFont="1" applyFill="1" applyBorder="1" applyAlignment="1">
      <alignment horizontal="center" wrapText="1"/>
    </xf>
    <xf numFmtId="0" fontId="18" fillId="4" borderId="18" xfId="0" applyFont="1" applyFill="1" applyBorder="1" applyAlignment="1">
      <alignment horizontal="center" wrapText="1"/>
    </xf>
    <xf numFmtId="49" fontId="17" fillId="0" borderId="0" xfId="0" applyNumberFormat="1" applyFont="1" applyBorder="1" applyAlignment="1">
      <alignment wrapText="1"/>
    </xf>
    <xf numFmtId="0" fontId="17" fillId="0" borderId="0" xfId="0" applyFont="1" applyBorder="1" applyAlignment="1">
      <alignment wrapText="1"/>
    </xf>
    <xf numFmtId="4" fontId="17" fillId="0" borderId="0" xfId="0" applyNumberFormat="1" applyFont="1" applyBorder="1" applyAlignment="1">
      <alignment wrapText="1"/>
    </xf>
    <xf numFmtId="0" fontId="30" fillId="4" borderId="18" xfId="0" applyFont="1" applyFill="1" applyBorder="1" applyAlignment="1">
      <alignment wrapText="1"/>
    </xf>
    <xf numFmtId="0" fontId="30" fillId="4" borderId="18" xfId="0" applyFont="1" applyFill="1" applyBorder="1" applyAlignment="1">
      <alignment horizontal="center" wrapText="1"/>
    </xf>
    <xf numFmtId="0" fontId="18" fillId="4" borderId="22" xfId="0" applyFont="1" applyFill="1" applyBorder="1" applyAlignment="1">
      <alignment wrapText="1"/>
    </xf>
    <xf numFmtId="49" fontId="18" fillId="4" borderId="22" xfId="0" applyNumberFormat="1" applyFont="1" applyFill="1" applyBorder="1" applyAlignment="1">
      <alignment horizontal="center" wrapText="1"/>
    </xf>
    <xf numFmtId="0" fontId="18" fillId="4" borderId="22" xfId="0" applyFont="1" applyFill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33" fillId="0" borderId="1" xfId="0" applyFont="1" applyFill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wrapText="1"/>
    </xf>
    <xf numFmtId="4" fontId="33" fillId="0" borderId="1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/>
    </xf>
    <xf numFmtId="0" fontId="14" fillId="0" borderId="1" xfId="0" applyFont="1" applyBorder="1"/>
    <xf numFmtId="0" fontId="15" fillId="0" borderId="1" xfId="0" applyFont="1" applyBorder="1"/>
    <xf numFmtId="0" fontId="15" fillId="2" borderId="1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4" fontId="15" fillId="2" borderId="1" xfId="0" applyNumberFormat="1" applyFont="1" applyFill="1" applyBorder="1" applyAlignment="1">
      <alignment horizontal="right" wrapText="1"/>
    </xf>
    <xf numFmtId="4" fontId="28" fillId="0" borderId="1" xfId="0" applyNumberFormat="1" applyFont="1" applyBorder="1"/>
    <xf numFmtId="43" fontId="28" fillId="0" borderId="1" xfId="1" applyFont="1" applyBorder="1"/>
    <xf numFmtId="4" fontId="14" fillId="2" borderId="1" xfId="0" applyNumberFormat="1" applyFont="1" applyFill="1" applyBorder="1" applyAlignment="1">
      <alignment horizontal="right" wrapText="1"/>
    </xf>
    <xf numFmtId="0" fontId="15" fillId="2" borderId="1" xfId="0" applyFont="1" applyFill="1" applyBorder="1" applyAlignment="1">
      <alignment horizontal="right" wrapText="1"/>
    </xf>
    <xf numFmtId="43" fontId="23" fillId="3" borderId="1" xfId="1" applyFont="1" applyFill="1" applyBorder="1" applyAlignment="1">
      <alignment horizontal="center" vertical="center" wrapText="1"/>
    </xf>
    <xf numFmtId="4" fontId="23" fillId="3" borderId="1" xfId="0" applyNumberFormat="1" applyFont="1" applyFill="1" applyBorder="1" applyAlignment="1">
      <alignment horizontal="right" vertical="center" wrapText="1"/>
    </xf>
    <xf numFmtId="43" fontId="15" fillId="0" borderId="1" xfId="1" applyFont="1" applyBorder="1"/>
    <xf numFmtId="43" fontId="23" fillId="0" borderId="1" xfId="1" applyFont="1" applyBorder="1"/>
    <xf numFmtId="0" fontId="22" fillId="0" borderId="0" xfId="0" applyFont="1" applyBorder="1" applyAlignment="1">
      <alignment horizontal="center"/>
    </xf>
    <xf numFmtId="0" fontId="14" fillId="0" borderId="0" xfId="0" applyFont="1"/>
    <xf numFmtId="0" fontId="22" fillId="0" borderId="0" xfId="0" applyFont="1" applyBorder="1" applyAlignment="1"/>
    <xf numFmtId="0" fontId="29" fillId="0" borderId="0" xfId="2" applyFont="1"/>
    <xf numFmtId="0" fontId="22" fillId="0" borderId="5" xfId="0" applyFont="1" applyBorder="1" applyAlignment="1">
      <alignment horizontal="center" wrapText="1"/>
    </xf>
    <xf numFmtId="0" fontId="22" fillId="0" borderId="1" xfId="0" applyFont="1" applyBorder="1" applyAlignment="1">
      <alignment horizontal="center" wrapText="1"/>
    </xf>
    <xf numFmtId="43" fontId="22" fillId="0" borderId="1" xfId="1" applyFont="1" applyBorder="1"/>
    <xf numFmtId="0" fontId="22" fillId="0" borderId="1" xfId="0" applyFont="1" applyBorder="1" applyAlignment="1">
      <alignment horizontal="right"/>
    </xf>
    <xf numFmtId="4" fontId="22" fillId="3" borderId="1" xfId="0" applyNumberFormat="1" applyFont="1" applyFill="1" applyBorder="1"/>
    <xf numFmtId="0" fontId="26" fillId="0" borderId="0" xfId="0" applyFont="1"/>
    <xf numFmtId="0" fontId="14" fillId="0" borderId="2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/>
    </xf>
    <xf numFmtId="43" fontId="14" fillId="3" borderId="1" xfId="1" applyFont="1" applyFill="1" applyBorder="1" applyAlignment="1">
      <alignment horizontal="center" wrapText="1"/>
    </xf>
    <xf numFmtId="43" fontId="17" fillId="0" borderId="1" xfId="1" applyFont="1" applyBorder="1"/>
    <xf numFmtId="0" fontId="14" fillId="0" borderId="1" xfId="0" applyFont="1" applyBorder="1" applyAlignment="1">
      <alignment horizontal="center"/>
    </xf>
    <xf numFmtId="0" fontId="22" fillId="0" borderId="0" xfId="0" applyFont="1"/>
    <xf numFmtId="4" fontId="22" fillId="0" borderId="1" xfId="0" applyNumberFormat="1" applyFont="1" applyBorder="1"/>
    <xf numFmtId="0" fontId="19" fillId="5" borderId="1" xfId="0" applyFont="1" applyFill="1" applyBorder="1" applyAlignment="1">
      <alignment horizontal="center" wrapText="1"/>
    </xf>
    <xf numFmtId="0" fontId="19" fillId="5" borderId="1" xfId="0" applyFont="1" applyFill="1" applyBorder="1" applyAlignment="1">
      <alignment horizontal="center"/>
    </xf>
    <xf numFmtId="49" fontId="34" fillId="0" borderId="5" xfId="0" applyNumberFormat="1" applyFont="1" applyBorder="1" applyAlignment="1">
      <alignment horizontal="center" wrapText="1"/>
    </xf>
    <xf numFmtId="49" fontId="34" fillId="0" borderId="5" xfId="0" applyNumberFormat="1" applyFont="1" applyBorder="1" applyAlignment="1">
      <alignment horizontal="center"/>
    </xf>
    <xf numFmtId="49" fontId="25" fillId="0" borderId="1" xfId="0" applyNumberFormat="1" applyFont="1" applyBorder="1"/>
    <xf numFmtId="43" fontId="22" fillId="0" borderId="1" xfId="0" applyNumberFormat="1" applyFont="1" applyBorder="1"/>
    <xf numFmtId="43" fontId="19" fillId="0" borderId="1" xfId="0" applyNumberFormat="1" applyFont="1" applyBorder="1"/>
    <xf numFmtId="43" fontId="14" fillId="0" borderId="5" xfId="0" applyNumberFormat="1" applyFont="1" applyBorder="1"/>
    <xf numFmtId="43" fontId="25" fillId="0" borderId="5" xfId="0" applyNumberFormat="1" applyFont="1" applyBorder="1"/>
    <xf numFmtId="49" fontId="25" fillId="0" borderId="11" xfId="0" applyNumberFormat="1" applyFont="1" applyBorder="1" applyAlignment="1">
      <alignment horizontal="right"/>
    </xf>
    <xf numFmtId="49" fontId="25" fillId="0" borderId="4" xfId="0" applyNumberFormat="1" applyFont="1" applyBorder="1"/>
    <xf numFmtId="43" fontId="29" fillId="0" borderId="4" xfId="0" applyNumberFormat="1" applyFont="1" applyBorder="1" applyAlignment="1">
      <alignment horizontal="center"/>
    </xf>
    <xf numFmtId="49" fontId="25" fillId="0" borderId="6" xfId="0" applyNumberFormat="1" applyFont="1" applyBorder="1" applyAlignment="1">
      <alignment horizontal="right"/>
    </xf>
    <xf numFmtId="0" fontId="15" fillId="0" borderId="1" xfId="0" applyFont="1" applyBorder="1" applyAlignment="1">
      <alignment wrapText="1"/>
    </xf>
    <xf numFmtId="49" fontId="23" fillId="0" borderId="5" xfId="0" applyNumberFormat="1" applyFont="1" applyBorder="1"/>
    <xf numFmtId="49" fontId="25" fillId="0" borderId="5" xfId="0" applyNumberFormat="1" applyFont="1" applyBorder="1"/>
    <xf numFmtId="0" fontId="15" fillId="0" borderId="5" xfId="0" applyFont="1" applyBorder="1" applyAlignment="1">
      <alignment wrapText="1"/>
    </xf>
    <xf numFmtId="0" fontId="23" fillId="0" borderId="20" xfId="0" applyFont="1" applyBorder="1" applyAlignment="1">
      <alignment wrapText="1"/>
    </xf>
    <xf numFmtId="0" fontId="15" fillId="0" borderId="0" xfId="0" applyFont="1" applyAlignment="1">
      <alignment wrapText="1"/>
    </xf>
    <xf numFmtId="0" fontId="23" fillId="0" borderId="4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35" fillId="0" borderId="0" xfId="0" applyFont="1"/>
    <xf numFmtId="0" fontId="36" fillId="0" borderId="0" xfId="0" applyFont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wrapText="1"/>
    </xf>
    <xf numFmtId="0" fontId="34" fillId="0" borderId="1" xfId="0" applyFont="1" applyBorder="1" applyAlignment="1">
      <alignment horizontal="center"/>
    </xf>
    <xf numFmtId="164" fontId="18" fillId="0" borderId="0" xfId="0" applyNumberFormat="1" applyFont="1" applyBorder="1"/>
    <xf numFmtId="4" fontId="18" fillId="0" borderId="0" xfId="0" applyNumberFormat="1" applyFont="1" applyBorder="1"/>
    <xf numFmtId="164" fontId="18" fillId="0" borderId="7" xfId="0" applyNumberFormat="1" applyFont="1" applyBorder="1" applyAlignment="1">
      <alignment vertical="center"/>
    </xf>
    <xf numFmtId="4" fontId="18" fillId="0" borderId="8" xfId="0" applyNumberFormat="1" applyFont="1" applyBorder="1" applyAlignment="1">
      <alignment horizontal="center" vertical="center"/>
    </xf>
    <xf numFmtId="4" fontId="18" fillId="0" borderId="9" xfId="0" applyNumberFormat="1" applyFont="1" applyBorder="1" applyAlignment="1">
      <alignment horizontal="center" vertical="center"/>
    </xf>
    <xf numFmtId="164" fontId="26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vertical="center"/>
    </xf>
    <xf numFmtId="43" fontId="27" fillId="0" borderId="6" xfId="1" applyFont="1" applyBorder="1"/>
    <xf numFmtId="164" fontId="26" fillId="0" borderId="1" xfId="0" applyNumberFormat="1" applyFont="1" applyBorder="1" applyAlignment="1">
      <alignment vertical="center"/>
    </xf>
    <xf numFmtId="4" fontId="27" fillId="0" borderId="1" xfId="0" applyNumberFormat="1" applyFont="1" applyBorder="1" applyAlignment="1">
      <alignment vertical="center"/>
    </xf>
    <xf numFmtId="43" fontId="26" fillId="0" borderId="1" xfId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164" fontId="26" fillId="0" borderId="0" xfId="0" applyNumberFormat="1" applyFont="1"/>
    <xf numFmtId="4" fontId="26" fillId="0" borderId="0" xfId="0" applyNumberFormat="1" applyFont="1"/>
    <xf numFmtId="43" fontId="18" fillId="0" borderId="1" xfId="1" applyFont="1" applyBorder="1" applyAlignment="1">
      <alignment vertical="center"/>
    </xf>
    <xf numFmtId="0" fontId="34" fillId="0" borderId="5" xfId="0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3" fontId="12" fillId="0" borderId="2" xfId="0" applyNumberFormat="1" applyFont="1" applyBorder="1" applyAlignment="1">
      <alignment horizontal="center"/>
    </xf>
    <xf numFmtId="43" fontId="10" fillId="0" borderId="15" xfId="0" applyNumberFormat="1" applyFont="1" applyBorder="1" applyAlignment="1">
      <alignment horizontal="center"/>
    </xf>
    <xf numFmtId="43" fontId="12" fillId="0" borderId="13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9" xfId="0" applyFont="1" applyBorder="1"/>
    <xf numFmtId="0" fontId="25" fillId="0" borderId="1" xfId="0" applyFont="1" applyBorder="1"/>
    <xf numFmtId="0" fontId="25" fillId="0" borderId="5" xfId="0" applyFont="1" applyBorder="1"/>
    <xf numFmtId="0" fontId="6" fillId="0" borderId="6" xfId="0" applyFont="1" applyBorder="1"/>
    <xf numFmtId="0" fontId="22" fillId="0" borderId="0" xfId="0" applyFont="1" applyBorder="1" applyAlignment="1">
      <alignment horizontal="center"/>
    </xf>
    <xf numFmtId="49" fontId="14" fillId="0" borderId="2" xfId="0" applyNumberFormat="1" applyFont="1" applyBorder="1" applyAlignment="1">
      <alignment wrapText="1"/>
    </xf>
    <xf numFmtId="0" fontId="26" fillId="0" borderId="3" xfId="0" applyFont="1" applyBorder="1"/>
    <xf numFmtId="0" fontId="22" fillId="0" borderId="6" xfId="0" applyFont="1" applyBorder="1" applyAlignment="1">
      <alignment horizontal="right" wrapText="1"/>
    </xf>
    <xf numFmtId="4" fontId="39" fillId="0" borderId="6" xfId="0" applyNumberFormat="1" applyFont="1" applyBorder="1" applyAlignment="1">
      <alignment horizontal="right" wrapText="1"/>
    </xf>
    <xf numFmtId="0" fontId="40" fillId="2" borderId="1" xfId="0" applyFont="1" applyFill="1" applyBorder="1" applyAlignment="1">
      <alignment horizontal="center" wrapText="1"/>
    </xf>
    <xf numFmtId="0" fontId="40" fillId="2" borderId="1" xfId="0" applyFont="1" applyFill="1" applyBorder="1" applyAlignment="1">
      <alignment wrapText="1"/>
    </xf>
    <xf numFmtId="4" fontId="40" fillId="2" borderId="1" xfId="0" applyNumberFormat="1" applyFont="1" applyFill="1" applyBorder="1" applyAlignment="1">
      <alignment horizontal="right" wrapText="1"/>
    </xf>
    <xf numFmtId="0" fontId="23" fillId="0" borderId="0" xfId="0" applyFont="1"/>
    <xf numFmtId="0" fontId="23" fillId="0" borderId="1" xfId="0" applyFont="1" applyBorder="1"/>
    <xf numFmtId="0" fontId="6" fillId="0" borderId="5" xfId="0" applyFont="1" applyBorder="1"/>
    <xf numFmtId="0" fontId="19" fillId="0" borderId="16" xfId="0" applyFont="1" applyBorder="1" applyAlignment="1">
      <alignment horizontal="right"/>
    </xf>
    <xf numFmtId="0" fontId="26" fillId="0" borderId="1" xfId="0" applyFont="1" applyBorder="1" applyAlignment="1">
      <alignment horizontal="center" wrapText="1"/>
    </xf>
    <xf numFmtId="0" fontId="38" fillId="0" borderId="1" xfId="0" applyFont="1" applyBorder="1"/>
    <xf numFmtId="43" fontId="14" fillId="0" borderId="1" xfId="0" applyNumberFormat="1" applyFont="1" applyBorder="1"/>
    <xf numFmtId="0" fontId="25" fillId="0" borderId="14" xfId="0" applyFont="1" applyBorder="1"/>
    <xf numFmtId="0" fontId="25" fillId="0" borderId="13" xfId="0" applyFont="1" applyBorder="1"/>
    <xf numFmtId="0" fontId="25" fillId="0" borderId="4" xfId="0" applyFont="1" applyBorder="1"/>
    <xf numFmtId="49" fontId="25" fillId="0" borderId="20" xfId="0" applyNumberFormat="1" applyFont="1" applyBorder="1"/>
    <xf numFmtId="0" fontId="25" fillId="0" borderId="11" xfId="0" applyFont="1" applyBorder="1"/>
    <xf numFmtId="1" fontId="15" fillId="2" borderId="1" xfId="0" applyNumberFormat="1" applyFont="1" applyFill="1" applyBorder="1" applyAlignment="1">
      <alignment horizontal="center" wrapText="1"/>
    </xf>
    <xf numFmtId="0" fontId="38" fillId="0" borderId="5" xfId="0" applyFont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/>
    </xf>
    <xf numFmtId="0" fontId="23" fillId="0" borderId="5" xfId="0" applyFont="1" applyBorder="1" applyAlignment="1">
      <alignment wrapText="1"/>
    </xf>
    <xf numFmtId="0" fontId="15" fillId="0" borderId="5" xfId="0" applyFont="1" applyBorder="1"/>
    <xf numFmtId="0" fontId="25" fillId="0" borderId="6" xfId="0" applyFont="1" applyBorder="1"/>
    <xf numFmtId="0" fontId="26" fillId="0" borderId="6" xfId="0" applyFont="1" applyBorder="1" applyAlignment="1">
      <alignment wrapText="1"/>
    </xf>
    <xf numFmtId="0" fontId="38" fillId="0" borderId="6" xfId="0" applyFont="1" applyBorder="1"/>
    <xf numFmtId="1" fontId="14" fillId="0" borderId="6" xfId="0" applyNumberFormat="1" applyFont="1" applyBorder="1" applyAlignment="1">
      <alignment horizontal="right"/>
    </xf>
    <xf numFmtId="43" fontId="14" fillId="0" borderId="6" xfId="0" applyNumberFormat="1" applyFont="1" applyBorder="1"/>
    <xf numFmtId="0" fontId="26" fillId="0" borderId="4" xfId="0" applyFont="1" applyBorder="1" applyAlignment="1">
      <alignment wrapText="1"/>
    </xf>
    <xf numFmtId="0" fontId="38" fillId="0" borderId="4" xfId="0" applyFont="1" applyBorder="1"/>
    <xf numFmtId="1" fontId="14" fillId="0" borderId="4" xfId="0" applyNumberFormat="1" applyFont="1" applyBorder="1" applyAlignment="1">
      <alignment horizontal="right"/>
    </xf>
    <xf numFmtId="43" fontId="22" fillId="0" borderId="4" xfId="0" applyNumberFormat="1" applyFont="1" applyBorder="1"/>
    <xf numFmtId="0" fontId="23" fillId="0" borderId="6" xfId="0" applyFont="1" applyBorder="1" applyAlignment="1">
      <alignment wrapText="1"/>
    </xf>
    <xf numFmtId="0" fontId="23" fillId="0" borderId="4" xfId="0" applyFont="1" applyBorder="1"/>
    <xf numFmtId="0" fontId="15" fillId="0" borderId="6" xfId="0" applyFont="1" applyBorder="1" applyAlignment="1">
      <alignment wrapText="1"/>
    </xf>
    <xf numFmtId="0" fontId="19" fillId="3" borderId="2" xfId="0" applyFont="1" applyFill="1" applyBorder="1" applyAlignment="1">
      <alignment horizontal="center" wrapText="1"/>
    </xf>
    <xf numFmtId="49" fontId="26" fillId="0" borderId="2" xfId="0" applyNumberFormat="1" applyFont="1" applyBorder="1" applyAlignment="1">
      <alignment horizontal="center"/>
    </xf>
    <xf numFmtId="43" fontId="17" fillId="0" borderId="2" xfId="0" applyNumberFormat="1" applyFont="1" applyBorder="1" applyAlignment="1">
      <alignment horizontal="center"/>
    </xf>
    <xf numFmtId="43" fontId="17" fillId="0" borderId="15" xfId="0" applyNumberFormat="1" applyFont="1" applyBorder="1" applyAlignment="1">
      <alignment horizontal="center"/>
    </xf>
    <xf numFmtId="43" fontId="22" fillId="0" borderId="13" xfId="0" applyNumberFormat="1" applyFont="1" applyBorder="1"/>
    <xf numFmtId="43" fontId="17" fillId="0" borderId="17" xfId="0" applyNumberFormat="1" applyFont="1" applyBorder="1" applyAlignment="1">
      <alignment horizontal="center"/>
    </xf>
    <xf numFmtId="43" fontId="29" fillId="0" borderId="13" xfId="0" applyNumberFormat="1" applyFont="1" applyBorder="1" applyAlignment="1">
      <alignment horizontal="center"/>
    </xf>
    <xf numFmtId="43" fontId="22" fillId="0" borderId="13" xfId="1" applyFont="1" applyBorder="1"/>
    <xf numFmtId="0" fontId="34" fillId="0" borderId="1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1" fontId="41" fillId="2" borderId="2" xfId="0" applyNumberFormat="1" applyFont="1" applyFill="1" applyBorder="1" applyAlignment="1">
      <alignment horizontal="center" wrapText="1"/>
    </xf>
    <xf numFmtId="43" fontId="25" fillId="0" borderId="3" xfId="1" applyFont="1" applyBorder="1" applyAlignment="1">
      <alignment wrapText="1"/>
    </xf>
    <xf numFmtId="0" fontId="42" fillId="0" borderId="1" xfId="0" applyFont="1" applyBorder="1" applyAlignment="1">
      <alignment wrapText="1"/>
    </xf>
    <xf numFmtId="4" fontId="43" fillId="0" borderId="1" xfId="0" applyNumberFormat="1" applyFont="1" applyBorder="1" applyAlignment="1">
      <alignment horizontal="right"/>
    </xf>
    <xf numFmtId="4" fontId="44" fillId="0" borderId="1" xfId="0" applyNumberFormat="1" applyFont="1" applyBorder="1" applyAlignment="1">
      <alignment horizontal="right"/>
    </xf>
    <xf numFmtId="43" fontId="43" fillId="0" borderId="1" xfId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4" fontId="23" fillId="0" borderId="1" xfId="0" applyNumberFormat="1" applyFont="1" applyBorder="1"/>
    <xf numFmtId="43" fontId="45" fillId="0" borderId="1" xfId="1" applyFont="1" applyBorder="1"/>
    <xf numFmtId="4" fontId="28" fillId="0" borderId="0" xfId="0" applyNumberFormat="1" applyFont="1"/>
    <xf numFmtId="43" fontId="15" fillId="2" borderId="1" xfId="1" applyFont="1" applyFill="1" applyBorder="1" applyAlignment="1">
      <alignment horizontal="right" wrapText="1"/>
    </xf>
    <xf numFmtId="0" fontId="47" fillId="0" borderId="1" xfId="0" applyFont="1" applyBorder="1"/>
    <xf numFmtId="43" fontId="23" fillId="3" borderId="1" xfId="1" applyFont="1" applyFill="1" applyBorder="1" applyAlignment="1">
      <alignment horizontal="right" vertical="center" wrapText="1"/>
    </xf>
    <xf numFmtId="43" fontId="15" fillId="2" borderId="3" xfId="1" applyFont="1" applyFill="1" applyBorder="1" applyAlignment="1">
      <alignment horizontal="right" wrapText="1"/>
    </xf>
    <xf numFmtId="0" fontId="13" fillId="0" borderId="6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4" fontId="15" fillId="0" borderId="0" xfId="0" applyNumberFormat="1" applyFont="1"/>
    <xf numFmtId="43" fontId="12" fillId="0" borderId="1" xfId="0" applyNumberFormat="1" applyFont="1" applyBorder="1" applyAlignment="1">
      <alignment horizontal="center"/>
    </xf>
    <xf numFmtId="49" fontId="25" fillId="0" borderId="6" xfId="0" applyNumberFormat="1" applyFont="1" applyBorder="1"/>
    <xf numFmtId="43" fontId="12" fillId="0" borderId="6" xfId="0" applyNumberFormat="1" applyFont="1" applyBorder="1" applyAlignment="1">
      <alignment horizontal="center"/>
    </xf>
    <xf numFmtId="49" fontId="25" fillId="0" borderId="5" xfId="0" applyNumberFormat="1" applyFont="1" applyBorder="1" applyAlignment="1">
      <alignment horizontal="right"/>
    </xf>
    <xf numFmtId="4" fontId="15" fillId="0" borderId="5" xfId="0" applyNumberFormat="1" applyFont="1" applyBorder="1"/>
    <xf numFmtId="43" fontId="12" fillId="0" borderId="5" xfId="0" applyNumberFormat="1" applyFont="1" applyBorder="1" applyAlignment="1">
      <alignment horizontal="center"/>
    </xf>
    <xf numFmtId="43" fontId="10" fillId="0" borderId="5" xfId="0" applyNumberFormat="1" applyFont="1" applyBorder="1" applyAlignment="1">
      <alignment horizontal="center"/>
    </xf>
    <xf numFmtId="0" fontId="23" fillId="0" borderId="20" xfId="0" applyFont="1" applyBorder="1"/>
    <xf numFmtId="4" fontId="15" fillId="2" borderId="0" xfId="0" applyNumberFormat="1" applyFont="1" applyFill="1" applyAlignment="1">
      <alignment horizontal="right" wrapText="1"/>
    </xf>
    <xf numFmtId="43" fontId="48" fillId="0" borderId="5" xfId="0" applyNumberFormat="1" applyFont="1" applyBorder="1" applyAlignment="1">
      <alignment horizontal="center"/>
    </xf>
    <xf numFmtId="0" fontId="28" fillId="0" borderId="1" xfId="0" applyFont="1" applyBorder="1" applyAlignment="1">
      <alignment wrapText="1"/>
    </xf>
    <xf numFmtId="43" fontId="14" fillId="2" borderId="1" xfId="1" applyFont="1" applyFill="1" applyBorder="1" applyAlignment="1">
      <alignment horizontal="right" wrapText="1"/>
    </xf>
    <xf numFmtId="0" fontId="23" fillId="0" borderId="5" xfId="0" applyFont="1" applyBorder="1"/>
    <xf numFmtId="43" fontId="15" fillId="0" borderId="5" xfId="1" applyFont="1" applyBorder="1" applyAlignment="1">
      <alignment horizontal="right"/>
    </xf>
    <xf numFmtId="43" fontId="22" fillId="0" borderId="5" xfId="0" applyNumberFormat="1" applyFont="1" applyBorder="1" applyAlignment="1">
      <alignment horizontal="center"/>
    </xf>
    <xf numFmtId="43" fontId="15" fillId="0" borderId="5" xfId="1" applyFont="1" applyBorder="1" applyAlignment="1">
      <alignment horizontal="center"/>
    </xf>
    <xf numFmtId="0" fontId="22" fillId="0" borderId="17" xfId="0" applyFont="1" applyBorder="1" applyAlignment="1">
      <alignment horizontal="right"/>
    </xf>
    <xf numFmtId="4" fontId="22" fillId="3" borderId="6" xfId="0" applyNumberFormat="1" applyFont="1" applyFill="1" applyBorder="1"/>
    <xf numFmtId="43" fontId="22" fillId="0" borderId="6" xfId="1" applyFont="1" applyBorder="1"/>
    <xf numFmtId="4" fontId="23" fillId="0" borderId="6" xfId="0" applyNumberFormat="1" applyFont="1" applyBorder="1"/>
    <xf numFmtId="0" fontId="22" fillId="0" borderId="6" xfId="0" applyFont="1" applyBorder="1" applyAlignment="1">
      <alignment horizontal="right"/>
    </xf>
    <xf numFmtId="43" fontId="23" fillId="0" borderId="6" xfId="1" applyFont="1" applyBorder="1"/>
    <xf numFmtId="0" fontId="15" fillId="2" borderId="6" xfId="0" applyFont="1" applyFill="1" applyBorder="1" applyAlignment="1">
      <alignment horizontal="center" wrapText="1"/>
    </xf>
    <xf numFmtId="43" fontId="16" fillId="0" borderId="6" xfId="1" applyFont="1" applyBorder="1"/>
    <xf numFmtId="43" fontId="11" fillId="0" borderId="6" xfId="1" applyFont="1" applyBorder="1"/>
    <xf numFmtId="43" fontId="15" fillId="2" borderId="6" xfId="1" applyFont="1" applyFill="1" applyBorder="1" applyAlignment="1">
      <alignment horizontal="right" wrapText="1"/>
    </xf>
    <xf numFmtId="43" fontId="34" fillId="0" borderId="5" xfId="1" applyFont="1" applyBorder="1" applyAlignment="1">
      <alignment horizontal="center" wrapText="1"/>
    </xf>
    <xf numFmtId="43" fontId="22" fillId="0" borderId="4" xfId="0" applyNumberFormat="1" applyFont="1" applyBorder="1" applyAlignment="1">
      <alignment horizontal="center"/>
    </xf>
    <xf numFmtId="0" fontId="15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wrapText="1"/>
    </xf>
    <xf numFmtId="4" fontId="15" fillId="2" borderId="0" xfId="0" applyNumberFormat="1" applyFont="1" applyFill="1" applyBorder="1" applyAlignment="1">
      <alignment horizontal="right" wrapText="1"/>
    </xf>
    <xf numFmtId="43" fontId="16" fillId="0" borderId="0" xfId="1" applyFont="1" applyBorder="1"/>
    <xf numFmtId="0" fontId="23" fillId="5" borderId="1" xfId="0" applyFont="1" applyFill="1" applyBorder="1" applyAlignment="1">
      <alignment horizontal="center" wrapText="1"/>
    </xf>
    <xf numFmtId="0" fontId="25" fillId="0" borderId="5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43" fontId="14" fillId="0" borderId="5" xfId="0" applyNumberFormat="1" applyFont="1" applyBorder="1" applyAlignment="1">
      <alignment horizontal="center"/>
    </xf>
    <xf numFmtId="0" fontId="26" fillId="0" borderId="19" xfId="0" applyFont="1" applyBorder="1"/>
    <xf numFmtId="0" fontId="26" fillId="0" borderId="16" xfId="0" applyFont="1" applyBorder="1"/>
    <xf numFmtId="0" fontId="25" fillId="0" borderId="16" xfId="0" applyFont="1" applyBorder="1"/>
    <xf numFmtId="43" fontId="22" fillId="0" borderId="16" xfId="0" applyNumberFormat="1" applyFont="1" applyBorder="1"/>
    <xf numFmtId="49" fontId="34" fillId="0" borderId="1" xfId="0" applyNumberFormat="1" applyFont="1" applyBorder="1" applyAlignment="1">
      <alignment horizontal="center" wrapText="1"/>
    </xf>
    <xf numFmtId="49" fontId="3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0" fillId="0" borderId="9" xfId="0" applyBorder="1" applyAlignment="1">
      <alignment horizontal="center"/>
    </xf>
    <xf numFmtId="43" fontId="46" fillId="0" borderId="0" xfId="0" applyNumberFormat="1" applyFont="1"/>
    <xf numFmtId="0" fontId="22" fillId="0" borderId="0" xfId="0" applyFont="1" applyBorder="1" applyAlignment="1">
      <alignment horizontal="center"/>
    </xf>
    <xf numFmtId="0" fontId="26" fillId="0" borderId="0" xfId="0" applyFont="1" applyAlignment="1">
      <alignment wrapText="1"/>
    </xf>
    <xf numFmtId="43" fontId="22" fillId="0" borderId="9" xfId="0" applyNumberFormat="1" applyFont="1" applyBorder="1"/>
    <xf numFmtId="0" fontId="25" fillId="0" borderId="1" xfId="0" applyFont="1" applyBorder="1" applyAlignment="1">
      <alignment horizontal="left"/>
    </xf>
    <xf numFmtId="0" fontId="20" fillId="0" borderId="1" xfId="0" applyFont="1" applyBorder="1"/>
    <xf numFmtId="43" fontId="50" fillId="0" borderId="1" xfId="1" applyFont="1" applyBorder="1" applyAlignment="1">
      <alignment horizontal="center"/>
    </xf>
    <xf numFmtId="0" fontId="51" fillId="2" borderId="1" xfId="0" applyFont="1" applyFill="1" applyBorder="1" applyAlignment="1">
      <alignment wrapText="1"/>
    </xf>
    <xf numFmtId="0" fontId="51" fillId="2" borderId="6" xfId="0" applyFont="1" applyFill="1" applyBorder="1" applyAlignment="1">
      <alignment wrapText="1"/>
    </xf>
    <xf numFmtId="0" fontId="36" fillId="0" borderId="6" xfId="0" applyFont="1" applyBorder="1"/>
    <xf numFmtId="43" fontId="52" fillId="0" borderId="1" xfId="1" applyNumberFormat="1" applyFont="1" applyBorder="1" applyAlignment="1">
      <alignment horizontal="center"/>
    </xf>
    <xf numFmtId="0" fontId="53" fillId="0" borderId="0" xfId="0" applyFont="1"/>
    <xf numFmtId="43" fontId="20" fillId="0" borderId="1" xfId="0" applyNumberFormat="1" applyFont="1" applyBorder="1" applyAlignment="1">
      <alignment horizontal="center" wrapText="1"/>
    </xf>
    <xf numFmtId="43" fontId="22" fillId="0" borderId="1" xfId="0" applyNumberFormat="1" applyFont="1" applyBorder="1" applyAlignment="1">
      <alignment horizontal="center"/>
    </xf>
    <xf numFmtId="49" fontId="25" fillId="0" borderId="15" xfId="0" applyNumberFormat="1" applyFont="1" applyBorder="1" applyAlignment="1">
      <alignment horizontal="center"/>
    </xf>
    <xf numFmtId="0" fontId="54" fillId="0" borderId="5" xfId="0" applyFont="1" applyBorder="1" applyAlignment="1">
      <alignment horizontal="center"/>
    </xf>
    <xf numFmtId="43" fontId="25" fillId="0" borderId="5" xfId="1" applyFont="1" applyBorder="1" applyAlignment="1">
      <alignment horizontal="right"/>
    </xf>
    <xf numFmtId="0" fontId="19" fillId="0" borderId="4" xfId="0" applyFont="1" applyBorder="1" applyAlignment="1">
      <alignment horizontal="right"/>
    </xf>
    <xf numFmtId="4" fontId="15" fillId="0" borderId="1" xfId="0" applyNumberFormat="1" applyFont="1" applyBorder="1"/>
    <xf numFmtId="43" fontId="14" fillId="0" borderId="0" xfId="1" applyFont="1" applyBorder="1"/>
    <xf numFmtId="43" fontId="22" fillId="0" borderId="12" xfId="0" applyNumberFormat="1" applyFont="1" applyBorder="1" applyAlignment="1">
      <alignment horizontal="center"/>
    </xf>
    <xf numFmtId="166" fontId="38" fillId="0" borderId="1" xfId="1" applyNumberFormat="1" applyFont="1" applyBorder="1"/>
    <xf numFmtId="49" fontId="25" fillId="0" borderId="1" xfId="0" applyNumberFormat="1" applyFont="1" applyBorder="1" applyAlignment="1">
      <alignment horizontal="right"/>
    </xf>
    <xf numFmtId="0" fontId="6" fillId="0" borderId="3" xfId="0" applyFont="1" applyBorder="1"/>
    <xf numFmtId="49" fontId="23" fillId="0" borderId="12" xfId="0" applyNumberFormat="1" applyFont="1" applyBorder="1"/>
    <xf numFmtId="4" fontId="24" fillId="0" borderId="6" xfId="0" applyNumberFormat="1" applyFont="1" applyBorder="1"/>
    <xf numFmtId="43" fontId="14" fillId="0" borderId="6" xfId="1" applyFont="1" applyBorder="1" applyAlignment="1">
      <alignment horizontal="center"/>
    </xf>
    <xf numFmtId="43" fontId="10" fillId="0" borderId="21" xfId="0" applyNumberFormat="1" applyFont="1" applyBorder="1" applyAlignment="1">
      <alignment horizontal="center"/>
    </xf>
    <xf numFmtId="49" fontId="23" fillId="0" borderId="1" xfId="0" applyNumberFormat="1" applyFont="1" applyBorder="1"/>
    <xf numFmtId="0" fontId="15" fillId="2" borderId="5" xfId="0" applyFont="1" applyFill="1" applyBorder="1" applyAlignment="1">
      <alignment wrapText="1"/>
    </xf>
    <xf numFmtId="0" fontId="34" fillId="0" borderId="6" xfId="0" applyFont="1" applyBorder="1" applyAlignment="1">
      <alignment horizontal="center"/>
    </xf>
    <xf numFmtId="43" fontId="22" fillId="0" borderId="6" xfId="0" applyNumberFormat="1" applyFont="1" applyBorder="1" applyAlignment="1">
      <alignment horizontal="center"/>
    </xf>
    <xf numFmtId="43" fontId="10" fillId="0" borderId="1" xfId="0" applyNumberFormat="1" applyFont="1" applyBorder="1" applyAlignment="1">
      <alignment horizontal="center"/>
    </xf>
    <xf numFmtId="49" fontId="15" fillId="0" borderId="6" xfId="0" applyNumberFormat="1" applyFont="1" applyBorder="1"/>
    <xf numFmtId="49" fontId="15" fillId="0" borderId="5" xfId="0" applyNumberFormat="1" applyFont="1" applyBorder="1"/>
    <xf numFmtId="43" fontId="29" fillId="0" borderId="1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26" fillId="0" borderId="19" xfId="0" applyNumberFormat="1" applyFont="1" applyBorder="1" applyAlignment="1">
      <alignment horizontal="right"/>
    </xf>
    <xf numFmtId="49" fontId="26" fillId="0" borderId="16" xfId="0" applyNumberFormat="1" applyFont="1" applyBorder="1"/>
    <xf numFmtId="0" fontId="34" fillId="0" borderId="16" xfId="0" applyFont="1" applyBorder="1"/>
    <xf numFmtId="0" fontId="0" fillId="0" borderId="24" xfId="0" applyBorder="1"/>
    <xf numFmtId="43" fontId="16" fillId="0" borderId="5" xfId="0" applyNumberFormat="1" applyFont="1" applyBorder="1" applyAlignment="1">
      <alignment horizontal="center"/>
    </xf>
    <xf numFmtId="43" fontId="55" fillId="0" borderId="4" xfId="0" applyNumberFormat="1" applyFont="1" applyBorder="1" applyAlignment="1">
      <alignment horizontal="center"/>
    </xf>
    <xf numFmtId="49" fontId="15" fillId="0" borderId="1" xfId="0" applyNumberFormat="1" applyFont="1" applyBorder="1"/>
    <xf numFmtId="49" fontId="15" fillId="2" borderId="1" xfId="0" applyNumberFormat="1" applyFont="1" applyFill="1" applyBorder="1" applyAlignment="1">
      <alignment horizontal="center" wrapText="1"/>
    </xf>
    <xf numFmtId="49" fontId="15" fillId="2" borderId="5" xfId="0" applyNumberFormat="1" applyFont="1" applyFill="1" applyBorder="1" applyAlignment="1">
      <alignment horizontal="center" wrapText="1"/>
    </xf>
    <xf numFmtId="49" fontId="0" fillId="0" borderId="6" xfId="0" applyNumberFormat="1" applyBorder="1" applyAlignment="1">
      <alignment horizontal="center"/>
    </xf>
    <xf numFmtId="43" fontId="14" fillId="0" borderId="1" xfId="1" applyFont="1" applyBorder="1" applyAlignment="1">
      <alignment horizontal="center"/>
    </xf>
    <xf numFmtId="4" fontId="14" fillId="0" borderId="0" xfId="0" applyNumberFormat="1" applyFont="1"/>
    <xf numFmtId="43" fontId="23" fillId="2" borderId="1" xfId="1" applyFont="1" applyFill="1" applyBorder="1" applyAlignment="1">
      <alignment horizontal="right" vertical="center" wrapText="1"/>
    </xf>
    <xf numFmtId="4" fontId="45" fillId="0" borderId="6" xfId="0" applyNumberFormat="1" applyFont="1" applyBorder="1" applyAlignment="1">
      <alignment horizontal="right" wrapText="1"/>
    </xf>
    <xf numFmtId="43" fontId="15" fillId="0" borderId="1" xfId="1" applyFont="1" applyBorder="1" applyAlignment="1">
      <alignment wrapText="1"/>
    </xf>
    <xf numFmtId="4" fontId="23" fillId="0" borderId="6" xfId="0" applyNumberFormat="1" applyFont="1" applyBorder="1" applyAlignment="1">
      <alignment horizontal="right" wrapText="1"/>
    </xf>
    <xf numFmtId="43" fontId="23" fillId="0" borderId="6" xfId="1" applyFont="1" applyBorder="1" applyAlignment="1">
      <alignment horizontal="right" wrapText="1"/>
    </xf>
    <xf numFmtId="43" fontId="15" fillId="2" borderId="0" xfId="1" applyFont="1" applyFill="1" applyBorder="1" applyAlignment="1">
      <alignment horizontal="right" wrapText="1"/>
    </xf>
    <xf numFmtId="0" fontId="26" fillId="0" borderId="0" xfId="0" applyFont="1" applyBorder="1"/>
    <xf numFmtId="0" fontId="22" fillId="0" borderId="5" xfId="0" applyFont="1" applyBorder="1"/>
    <xf numFmtId="0" fontId="23" fillId="5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49" fontId="15" fillId="0" borderId="1" xfId="0" applyNumberFormat="1" applyFont="1" applyBorder="1" applyAlignment="1">
      <alignment horizontal="center" wrapText="1"/>
    </xf>
    <xf numFmtId="43" fontId="15" fillId="0" borderId="1" xfId="0" applyNumberFormat="1" applyFont="1" applyBorder="1" applyAlignment="1">
      <alignment horizontal="left"/>
    </xf>
    <xf numFmtId="43" fontId="15" fillId="0" borderId="1" xfId="0" applyNumberFormat="1" applyFont="1" applyBorder="1" applyAlignment="1">
      <alignment horizontal="center"/>
    </xf>
    <xf numFmtId="43" fontId="23" fillId="0" borderId="1" xfId="0" applyNumberFormat="1" applyFont="1" applyBorder="1" applyAlignment="1">
      <alignment horizontal="left"/>
    </xf>
    <xf numFmtId="0" fontId="15" fillId="0" borderId="6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6" fillId="0" borderId="6" xfId="0" applyFont="1" applyBorder="1"/>
    <xf numFmtId="49" fontId="15" fillId="0" borderId="0" xfId="0" applyNumberFormat="1" applyFont="1"/>
    <xf numFmtId="43" fontId="16" fillId="0" borderId="1" xfId="0" applyNumberFormat="1" applyFont="1" applyBorder="1" applyAlignment="1">
      <alignment horizontal="center"/>
    </xf>
    <xf numFmtId="43" fontId="15" fillId="0" borderId="5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right"/>
    </xf>
    <xf numFmtId="43" fontId="15" fillId="0" borderId="1" xfId="1" applyFont="1" applyBorder="1" applyAlignment="1">
      <alignment horizontal="right" wrapText="1"/>
    </xf>
    <xf numFmtId="43" fontId="15" fillId="0" borderId="1" xfId="0" applyNumberFormat="1" applyFont="1" applyBorder="1" applyAlignment="1">
      <alignment horizontal="right"/>
    </xf>
    <xf numFmtId="43" fontId="56" fillId="0" borderId="1" xfId="0" applyNumberFormat="1" applyFont="1" applyBorder="1" applyAlignment="1">
      <alignment horizontal="center"/>
    </xf>
    <xf numFmtId="43" fontId="23" fillId="0" borderId="16" xfId="0" applyNumberFormat="1" applyFont="1" applyBorder="1"/>
    <xf numFmtId="43" fontId="28" fillId="0" borderId="0" xfId="1" applyFont="1"/>
    <xf numFmtId="0" fontId="15" fillId="2" borderId="1" xfId="0" applyFont="1" applyFill="1" applyBorder="1" applyAlignment="1">
      <alignment horizontal="center" vertical="center" wrapText="1"/>
    </xf>
    <xf numFmtId="43" fontId="15" fillId="0" borderId="0" xfId="1" applyFont="1"/>
    <xf numFmtId="43" fontId="0" fillId="0" borderId="1" xfId="1" applyFont="1" applyBorder="1" applyAlignment="1">
      <alignment horizontal="right"/>
    </xf>
    <xf numFmtId="43" fontId="15" fillId="0" borderId="1" xfId="1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4" fontId="43" fillId="0" borderId="0" xfId="0" applyNumberFormat="1" applyFont="1"/>
    <xf numFmtId="43" fontId="23" fillId="0" borderId="1" xfId="1" applyFont="1" applyBorder="1" applyAlignment="1">
      <alignment horizontal="center"/>
    </xf>
    <xf numFmtId="43" fontId="28" fillId="0" borderId="1" xfId="1" applyFont="1" applyBorder="1" applyAlignment="1">
      <alignment horizontal="center"/>
    </xf>
    <xf numFmtId="0" fontId="57" fillId="0" borderId="1" xfId="0" applyFont="1" applyBorder="1"/>
    <xf numFmtId="43" fontId="15" fillId="0" borderId="3" xfId="1" applyFont="1" applyBorder="1"/>
    <xf numFmtId="0" fontId="15" fillId="0" borderId="3" xfId="0" applyFont="1" applyBorder="1"/>
    <xf numFmtId="43" fontId="39" fillId="0" borderId="6" xfId="1" applyFont="1" applyBorder="1" applyAlignment="1">
      <alignment horizontal="right" wrapText="1"/>
    </xf>
    <xf numFmtId="0" fontId="15" fillId="0" borderId="0" xfId="0" applyFont="1"/>
    <xf numFmtId="43" fontId="29" fillId="0" borderId="6" xfId="0" applyNumberFormat="1" applyFont="1" applyBorder="1" applyAlignment="1">
      <alignment horizontal="center"/>
    </xf>
    <xf numFmtId="43" fontId="17" fillId="0" borderId="1" xfId="0" applyNumberFormat="1" applyFont="1" applyBorder="1" applyAlignment="1">
      <alignment horizontal="center"/>
    </xf>
    <xf numFmtId="0" fontId="40" fillId="0" borderId="5" xfId="0" applyFont="1" applyBorder="1"/>
    <xf numFmtId="0" fontId="23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" fontId="43" fillId="0" borderId="2" xfId="0" applyNumberFormat="1" applyFont="1" applyBorder="1"/>
    <xf numFmtId="43" fontId="17" fillId="0" borderId="5" xfId="0" applyNumberFormat="1" applyFont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  <xf numFmtId="4" fontId="24" fillId="0" borderId="5" xfId="0" applyNumberFormat="1" applyFont="1" applyBorder="1"/>
    <xf numFmtId="43" fontId="14" fillId="0" borderId="5" xfId="1" applyFont="1" applyBorder="1" applyAlignment="1">
      <alignment horizontal="center"/>
    </xf>
    <xf numFmtId="0" fontId="38" fillId="0" borderId="5" xfId="0" applyFont="1" applyBorder="1" applyAlignment="1">
      <alignment wrapText="1"/>
    </xf>
    <xf numFmtId="49" fontId="25" fillId="0" borderId="14" xfId="0" applyNumberFormat="1" applyFont="1" applyBorder="1" applyAlignment="1">
      <alignment horizontal="right"/>
    </xf>
    <xf numFmtId="49" fontId="25" fillId="0" borderId="13" xfId="0" applyNumberFormat="1" applyFont="1" applyBorder="1"/>
    <xf numFmtId="0" fontId="15" fillId="0" borderId="1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/>
    </xf>
    <xf numFmtId="0" fontId="23" fillId="0" borderId="26" xfId="0" applyFont="1" applyBorder="1" applyAlignment="1">
      <alignment wrapText="1"/>
    </xf>
    <xf numFmtId="0" fontId="23" fillId="0" borderId="6" xfId="0" applyFont="1" applyBorder="1"/>
    <xf numFmtId="49" fontId="34" fillId="0" borderId="6" xfId="0" applyNumberFormat="1" applyFont="1" applyBorder="1" applyAlignment="1">
      <alignment horizontal="center" wrapText="1"/>
    </xf>
    <xf numFmtId="49" fontId="34" fillId="0" borderId="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1" xfId="0" applyFont="1" applyBorder="1" applyAlignment="1">
      <alignment wrapText="1"/>
    </xf>
    <xf numFmtId="4" fontId="58" fillId="0" borderId="1" xfId="0" applyNumberFormat="1" applyFont="1" applyBorder="1" applyAlignment="1">
      <alignment horizontal="right"/>
    </xf>
    <xf numFmtId="4" fontId="31" fillId="0" borderId="6" xfId="0" applyNumberFormat="1" applyFont="1" applyBorder="1" applyAlignment="1">
      <alignment horizontal="right"/>
    </xf>
    <xf numFmtId="0" fontId="58" fillId="0" borderId="6" xfId="0" applyFont="1" applyBorder="1" applyAlignment="1">
      <alignment horizontal="center"/>
    </xf>
    <xf numFmtId="0" fontId="58" fillId="0" borderId="6" xfId="0" applyFont="1" applyBorder="1" applyAlignment="1">
      <alignment wrapText="1"/>
    </xf>
    <xf numFmtId="4" fontId="58" fillId="0" borderId="6" xfId="0" applyNumberFormat="1" applyFont="1" applyBorder="1" applyAlignment="1">
      <alignment horizontal="right"/>
    </xf>
    <xf numFmtId="0" fontId="31" fillId="3" borderId="1" xfId="0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center" wrapText="1"/>
    </xf>
    <xf numFmtId="0" fontId="33" fillId="0" borderId="2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horizontal="center" wrapText="1"/>
    </xf>
    <xf numFmtId="4" fontId="32" fillId="2" borderId="1" xfId="0" applyNumberFormat="1" applyFont="1" applyFill="1" applyBorder="1" applyAlignment="1">
      <alignment horizontal="right" wrapText="1"/>
    </xf>
    <xf numFmtId="49" fontId="17" fillId="0" borderId="11" xfId="0" applyNumberFormat="1" applyFont="1" applyBorder="1" applyAlignment="1">
      <alignment wrapText="1"/>
    </xf>
    <xf numFmtId="49" fontId="17" fillId="0" borderId="9" xfId="0" applyNumberFormat="1" applyFont="1" applyBorder="1" applyAlignment="1">
      <alignment wrapText="1"/>
    </xf>
    <xf numFmtId="0" fontId="59" fillId="0" borderId="7" xfId="0" applyFont="1" applyBorder="1" applyAlignment="1">
      <alignment horizontal="right"/>
    </xf>
    <xf numFmtId="4" fontId="60" fillId="6" borderId="28" xfId="0" applyNumberFormat="1" applyFont="1" applyFill="1" applyBorder="1" applyAlignment="1">
      <alignment horizontal="right"/>
    </xf>
    <xf numFmtId="0" fontId="21" fillId="0" borderId="0" xfId="3" applyFont="1" applyAlignment="1">
      <alignment horizontal="center"/>
    </xf>
    <xf numFmtId="4" fontId="61" fillId="0" borderId="0" xfId="0" applyNumberFormat="1" applyFont="1"/>
    <xf numFmtId="4" fontId="30" fillId="0" borderId="9" xfId="0" applyNumberFormat="1" applyFont="1" applyBorder="1"/>
    <xf numFmtId="0" fontId="30" fillId="4" borderId="22" xfId="0" applyFont="1" applyFill="1" applyBorder="1" applyAlignment="1">
      <alignment wrapText="1"/>
    </xf>
    <xf numFmtId="0" fontId="30" fillId="4" borderId="22" xfId="0" applyFont="1" applyFill="1" applyBorder="1" applyAlignment="1">
      <alignment horizontal="center" wrapText="1"/>
    </xf>
    <xf numFmtId="0" fontId="54" fillId="0" borderId="6" xfId="0" applyFont="1" applyBorder="1" applyAlignment="1">
      <alignment horizontal="center"/>
    </xf>
    <xf numFmtId="0" fontId="54" fillId="0" borderId="6" xfId="0" applyFont="1" applyBorder="1" applyAlignment="1">
      <alignment wrapText="1"/>
    </xf>
    <xf numFmtId="4" fontId="54" fillId="0" borderId="6" xfId="0" applyNumberFormat="1" applyFont="1" applyBorder="1" applyAlignment="1">
      <alignment horizontal="right"/>
    </xf>
    <xf numFmtId="0" fontId="62" fillId="0" borderId="1" xfId="0" applyFont="1" applyBorder="1" applyAlignment="1">
      <alignment horizontal="center"/>
    </xf>
    <xf numFmtId="0" fontId="62" fillId="0" borderId="1" xfId="0" applyFont="1" applyBorder="1" applyAlignment="1">
      <alignment wrapText="1"/>
    </xf>
    <xf numFmtId="4" fontId="62" fillId="0" borderId="1" xfId="0" applyNumberFormat="1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1" xfId="0" applyFont="1" applyBorder="1" applyAlignment="1">
      <alignment wrapText="1"/>
    </xf>
    <xf numFmtId="4" fontId="54" fillId="0" borderId="1" xfId="0" applyNumberFormat="1" applyFont="1" applyBorder="1" applyAlignment="1">
      <alignment horizontal="right"/>
    </xf>
    <xf numFmtId="0" fontId="54" fillId="0" borderId="5" xfId="0" applyFont="1" applyBorder="1" applyAlignment="1">
      <alignment wrapText="1"/>
    </xf>
    <xf numFmtId="4" fontId="54" fillId="0" borderId="5" xfId="0" applyNumberFormat="1" applyFont="1" applyBorder="1" applyAlignment="1">
      <alignment horizontal="right"/>
    </xf>
    <xf numFmtId="0" fontId="62" fillId="0" borderId="6" xfId="0" applyFont="1" applyBorder="1" applyAlignment="1">
      <alignment horizontal="center"/>
    </xf>
    <xf numFmtId="0" fontId="62" fillId="0" borderId="6" xfId="0" applyFont="1" applyBorder="1" applyAlignment="1">
      <alignment wrapText="1"/>
    </xf>
    <xf numFmtId="4" fontId="62" fillId="0" borderId="6" xfId="0" applyNumberFormat="1" applyFont="1" applyBorder="1" applyAlignment="1">
      <alignment horizontal="right"/>
    </xf>
    <xf numFmtId="0" fontId="54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 wrapText="1"/>
    </xf>
    <xf numFmtId="4" fontId="54" fillId="0" borderId="0" xfId="0" applyNumberFormat="1" applyFont="1" applyBorder="1" applyAlignment="1">
      <alignment horizontal="right"/>
    </xf>
    <xf numFmtId="4" fontId="17" fillId="0" borderId="0" xfId="0" applyNumberFormat="1" applyFont="1" applyBorder="1"/>
    <xf numFmtId="43" fontId="17" fillId="0" borderId="0" xfId="1" applyFont="1" applyBorder="1"/>
    <xf numFmtId="43" fontId="17" fillId="0" borderId="0" xfId="1" applyFont="1" applyBorder="1" applyAlignment="1">
      <alignment wrapText="1"/>
    </xf>
    <xf numFmtId="4" fontId="29" fillId="0" borderId="0" xfId="0" applyNumberFormat="1" applyFont="1" applyBorder="1" applyAlignment="1">
      <alignment wrapText="1"/>
    </xf>
    <xf numFmtId="4" fontId="29" fillId="0" borderId="0" xfId="0" applyNumberFormat="1" applyFont="1" applyBorder="1"/>
    <xf numFmtId="0" fontId="40" fillId="0" borderId="1" xfId="0" applyFont="1" applyBorder="1" applyAlignment="1">
      <alignment horizontal="center"/>
    </xf>
    <xf numFmtId="0" fontId="40" fillId="0" borderId="1" xfId="0" applyFont="1" applyBorder="1" applyAlignment="1">
      <alignment horizontal="right"/>
    </xf>
    <xf numFmtId="0" fontId="40" fillId="0" borderId="1" xfId="0" applyFont="1" applyBorder="1" applyAlignment="1">
      <alignment wrapText="1"/>
    </xf>
    <xf numFmtId="4" fontId="40" fillId="0" borderId="1" xfId="0" applyNumberFormat="1" applyFont="1" applyBorder="1" applyAlignment="1">
      <alignment horizontal="right"/>
    </xf>
    <xf numFmtId="0" fontId="49" fillId="0" borderId="1" xfId="0" applyFont="1" applyBorder="1" applyAlignment="1">
      <alignment wrapText="1"/>
    </xf>
    <xf numFmtId="4" fontId="49" fillId="0" borderId="1" xfId="0" applyNumberFormat="1" applyFont="1" applyBorder="1" applyAlignment="1">
      <alignment horizontal="right"/>
    </xf>
    <xf numFmtId="0" fontId="49" fillId="0" borderId="1" xfId="0" applyFont="1" applyBorder="1" applyAlignment="1">
      <alignment horizontal="right"/>
    </xf>
    <xf numFmtId="4" fontId="63" fillId="0" borderId="1" xfId="0" applyNumberFormat="1" applyFont="1" applyBorder="1"/>
    <xf numFmtId="43" fontId="40" fillId="0" borderId="1" xfId="0" applyNumberFormat="1" applyFont="1" applyBorder="1" applyAlignment="1">
      <alignment horizontal="right"/>
    </xf>
    <xf numFmtId="0" fontId="40" fillId="0" borderId="1" xfId="0" applyFont="1" applyBorder="1"/>
    <xf numFmtId="0" fontId="40" fillId="0" borderId="6" xfId="0" applyFont="1" applyBorder="1" applyAlignment="1">
      <alignment horizontal="center"/>
    </xf>
    <xf numFmtId="0" fontId="40" fillId="0" borderId="6" xfId="0" applyFont="1" applyBorder="1" applyAlignment="1">
      <alignment horizontal="right"/>
    </xf>
    <xf numFmtId="0" fontId="40" fillId="0" borderId="6" xfId="0" applyFont="1" applyBorder="1" applyAlignment="1">
      <alignment wrapText="1"/>
    </xf>
    <xf numFmtId="4" fontId="40" fillId="0" borderId="6" xfId="0" applyNumberFormat="1" applyFont="1" applyBorder="1" applyAlignment="1">
      <alignment horizontal="right"/>
    </xf>
    <xf numFmtId="4" fontId="59" fillId="0" borderId="6" xfId="0" applyNumberFormat="1" applyFont="1" applyBorder="1" applyAlignment="1">
      <alignment horizontal="right"/>
    </xf>
    <xf numFmtId="4" fontId="59" fillId="0" borderId="1" xfId="0" applyNumberFormat="1" applyFont="1" applyBorder="1" applyAlignment="1">
      <alignment horizontal="right"/>
    </xf>
    <xf numFmtId="4" fontId="64" fillId="0" borderId="1" xfId="0" applyNumberFormat="1" applyFont="1" applyBorder="1" applyAlignment="1">
      <alignment horizontal="right"/>
    </xf>
    <xf numFmtId="4" fontId="59" fillId="0" borderId="1" xfId="0" applyNumberFormat="1" applyFont="1" applyBorder="1"/>
    <xf numFmtId="0" fontId="40" fillId="0" borderId="5" xfId="0" applyFont="1" applyBorder="1" applyAlignment="1">
      <alignment horizontal="center"/>
    </xf>
    <xf numFmtId="0" fontId="40" fillId="0" borderId="5" xfId="0" applyFont="1" applyBorder="1" applyAlignment="1">
      <alignment wrapText="1"/>
    </xf>
    <xf numFmtId="4" fontId="40" fillId="0" borderId="5" xfId="0" applyNumberFormat="1" applyFont="1" applyBorder="1" applyAlignment="1">
      <alignment horizontal="right"/>
    </xf>
    <xf numFmtId="4" fontId="59" fillId="0" borderId="5" xfId="0" applyNumberFormat="1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wrapText="1"/>
    </xf>
    <xf numFmtId="4" fontId="40" fillId="0" borderId="0" xfId="0" applyNumberFormat="1" applyFont="1" applyBorder="1" applyAlignment="1">
      <alignment horizontal="right"/>
    </xf>
    <xf numFmtId="4" fontId="59" fillId="0" borderId="0" xfId="0" applyNumberFormat="1" applyFont="1" applyBorder="1" applyAlignment="1">
      <alignment horizontal="right"/>
    </xf>
    <xf numFmtId="0" fontId="40" fillId="0" borderId="0" xfId="0" applyFont="1" applyBorder="1" applyAlignment="1">
      <alignment horizontal="left"/>
    </xf>
    <xf numFmtId="0" fontId="49" fillId="0" borderId="0" xfId="0" applyFont="1" applyBorder="1" applyAlignment="1">
      <alignment wrapText="1"/>
    </xf>
    <xf numFmtId="4" fontId="49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6" fillId="0" borderId="12" xfId="0" applyFont="1" applyBorder="1"/>
    <xf numFmtId="49" fontId="23" fillId="0" borderId="6" xfId="0" applyNumberFormat="1" applyFont="1" applyBorder="1"/>
    <xf numFmtId="0" fontId="34" fillId="0" borderId="12" xfId="0" applyFont="1" applyBorder="1" applyAlignment="1">
      <alignment horizontal="center"/>
    </xf>
    <xf numFmtId="49" fontId="34" fillId="0" borderId="12" xfId="0" applyNumberFormat="1" applyFont="1" applyBorder="1" applyAlignment="1">
      <alignment horizontal="center" wrapText="1"/>
    </xf>
    <xf numFmtId="43" fontId="34" fillId="0" borderId="12" xfId="1" applyFont="1" applyBorder="1" applyAlignment="1">
      <alignment horizontal="center" wrapText="1"/>
    </xf>
    <xf numFmtId="49" fontId="34" fillId="0" borderId="12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35" fillId="0" borderId="1" xfId="0" applyFont="1" applyBorder="1" applyAlignment="1">
      <alignment horizontal="center"/>
    </xf>
    <xf numFmtId="43" fontId="56" fillId="0" borderId="1" xfId="0" applyNumberFormat="1" applyFont="1" applyBorder="1" applyAlignment="1">
      <alignment horizontal="right"/>
    </xf>
    <xf numFmtId="43" fontId="15" fillId="0" borderId="5" xfId="0" applyNumberFormat="1" applyFont="1" applyBorder="1" applyAlignment="1">
      <alignment horizontal="left"/>
    </xf>
    <xf numFmtId="43" fontId="23" fillId="0" borderId="6" xfId="0" applyNumberFormat="1" applyFont="1" applyBorder="1" applyAlignment="1">
      <alignment horizontal="left"/>
    </xf>
    <xf numFmtId="0" fontId="15" fillId="0" borderId="1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49" fontId="15" fillId="0" borderId="4" xfId="0" applyNumberFormat="1" applyFont="1" applyBorder="1"/>
    <xf numFmtId="43" fontId="23" fillId="0" borderId="4" xfId="0" applyNumberFormat="1" applyFont="1" applyBorder="1" applyAlignment="1">
      <alignment horizontal="left"/>
    </xf>
    <xf numFmtId="43" fontId="23" fillId="0" borderId="9" xfId="0" applyNumberFormat="1" applyFont="1" applyBorder="1" applyAlignment="1">
      <alignment horizontal="left"/>
    </xf>
    <xf numFmtId="49" fontId="15" fillId="0" borderId="5" xfId="0" applyNumberFormat="1" applyFont="1" applyBorder="1" applyAlignment="1">
      <alignment horizontal="right"/>
    </xf>
    <xf numFmtId="43" fontId="23" fillId="0" borderId="5" xfId="0" applyNumberFormat="1" applyFont="1" applyBorder="1" applyAlignment="1">
      <alignment horizontal="left"/>
    </xf>
    <xf numFmtId="43" fontId="15" fillId="0" borderId="5" xfId="0" applyNumberFormat="1" applyFont="1" applyBorder="1" applyAlignment="1"/>
    <xf numFmtId="43" fontId="15" fillId="0" borderId="5" xfId="0" applyNumberFormat="1" applyFont="1" applyBorder="1" applyAlignment="1">
      <alignment horizontal="right"/>
    </xf>
    <xf numFmtId="43" fontId="56" fillId="0" borderId="5" xfId="0" applyNumberFormat="1" applyFont="1" applyBorder="1" applyAlignment="1">
      <alignment horizontal="center"/>
    </xf>
    <xf numFmtId="43" fontId="39" fillId="0" borderId="4" xfId="0" applyNumberFormat="1" applyFont="1" applyBorder="1" applyAlignment="1">
      <alignment horizontal="left"/>
    </xf>
    <xf numFmtId="43" fontId="39" fillId="0" borderId="9" xfId="0" applyNumberFormat="1" applyFont="1" applyBorder="1" applyAlignment="1">
      <alignment horizontal="left"/>
    </xf>
    <xf numFmtId="49" fontId="15" fillId="0" borderId="12" xfId="0" applyNumberFormat="1" applyFont="1" applyBorder="1"/>
    <xf numFmtId="0" fontId="15" fillId="0" borderId="11" xfId="0" applyFont="1" applyBorder="1"/>
    <xf numFmtId="0" fontId="15" fillId="0" borderId="4" xfId="0" applyFont="1" applyBorder="1"/>
    <xf numFmtId="0" fontId="23" fillId="0" borderId="4" xfId="0" applyFont="1" applyBorder="1" applyAlignment="1">
      <alignment horizontal="right" wrapText="1"/>
    </xf>
    <xf numFmtId="43" fontId="39" fillId="0" borderId="4" xfId="0" applyNumberFormat="1" applyFont="1" applyBorder="1"/>
    <xf numFmtId="0" fontId="23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wrapText="1"/>
    </xf>
    <xf numFmtId="43" fontId="15" fillId="0" borderId="12" xfId="0" applyNumberFormat="1" applyFont="1" applyBorder="1" applyAlignment="1">
      <alignment horizontal="left"/>
    </xf>
    <xf numFmtId="4" fontId="15" fillId="0" borderId="12" xfId="0" applyNumberFormat="1" applyFont="1" applyBorder="1"/>
    <xf numFmtId="43" fontId="15" fillId="0" borderId="12" xfId="0" applyNumberFormat="1" applyFont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0" fontId="16" fillId="2" borderId="6" xfId="0" applyFont="1" applyFill="1" applyBorder="1" applyAlignment="1">
      <alignment wrapText="1"/>
    </xf>
    <xf numFmtId="164" fontId="26" fillId="0" borderId="0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3" fontId="23" fillId="0" borderId="4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12" xfId="0" applyFont="1" applyBorder="1" applyAlignment="1">
      <alignment wrapText="1"/>
    </xf>
    <xf numFmtId="43" fontId="38" fillId="0" borderId="5" xfId="0" applyNumberFormat="1" applyFont="1" applyBorder="1" applyAlignment="1">
      <alignment horizontal="left"/>
    </xf>
    <xf numFmtId="43" fontId="39" fillId="0" borderId="6" xfId="0" applyNumberFormat="1" applyFont="1" applyBorder="1" applyAlignment="1">
      <alignment horizontal="left"/>
    </xf>
    <xf numFmtId="43" fontId="65" fillId="0" borderId="1" xfId="1" applyFont="1" applyBorder="1"/>
    <xf numFmtId="43" fontId="22" fillId="0" borderId="24" xfId="0" applyNumberFormat="1" applyFont="1" applyBorder="1"/>
    <xf numFmtId="0" fontId="43" fillId="0" borderId="1" xfId="0" applyFont="1" applyBorder="1"/>
    <xf numFmtId="0" fontId="25" fillId="2" borderId="1" xfId="0" applyFont="1" applyFill="1" applyBorder="1" applyAlignment="1">
      <alignment horizontal="center" wrapText="1"/>
    </xf>
    <xf numFmtId="43" fontId="25" fillId="0" borderId="1" xfId="0" applyNumberFormat="1" applyFont="1" applyBorder="1" applyAlignment="1">
      <alignment horizontal="center"/>
    </xf>
    <xf numFmtId="49" fontId="40" fillId="0" borderId="5" xfId="0" applyNumberFormat="1" applyFont="1" applyBorder="1" applyAlignment="1">
      <alignment horizontal="right"/>
    </xf>
    <xf numFmtId="1" fontId="15" fillId="2" borderId="5" xfId="0" applyNumberFormat="1" applyFont="1" applyFill="1" applyBorder="1" applyAlignment="1">
      <alignment horizontal="center" wrapText="1"/>
    </xf>
    <xf numFmtId="43" fontId="15" fillId="2" borderId="5" xfId="1" applyFont="1" applyFill="1" applyBorder="1" applyAlignment="1">
      <alignment horizontal="right" wrapText="1"/>
    </xf>
    <xf numFmtId="43" fontId="0" fillId="0" borderId="5" xfId="1" applyFont="1" applyBorder="1" applyAlignment="1">
      <alignment horizontal="right"/>
    </xf>
    <xf numFmtId="43" fontId="15" fillId="0" borderId="5" xfId="1" applyFont="1" applyBorder="1" applyAlignment="1">
      <alignment horizontal="center" wrapText="1"/>
    </xf>
    <xf numFmtId="0" fontId="34" fillId="0" borderId="0" xfId="0" applyFont="1"/>
    <xf numFmtId="43" fontId="25" fillId="0" borderId="1" xfId="1" applyFont="1" applyBorder="1" applyAlignment="1">
      <alignment horizontal="center"/>
    </xf>
    <xf numFmtId="0" fontId="25" fillId="0" borderId="1" xfId="0" applyFont="1" applyBorder="1" applyAlignment="1">
      <alignment horizontal="left" wrapText="1"/>
    </xf>
    <xf numFmtId="43" fontId="25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43" fontId="19" fillId="0" borderId="1" xfId="1" applyFont="1" applyBorder="1" applyAlignment="1">
      <alignment horizontal="center"/>
    </xf>
    <xf numFmtId="43" fontId="18" fillId="0" borderId="1" xfId="1" applyNumberFormat="1" applyFont="1" applyBorder="1" applyAlignment="1">
      <alignment horizontal="center"/>
    </xf>
    <xf numFmtId="43" fontId="19" fillId="0" borderId="1" xfId="1" applyFont="1" applyBorder="1" applyAlignment="1">
      <alignment horizontal="center" wrapText="1"/>
    </xf>
    <xf numFmtId="43" fontId="19" fillId="0" borderId="1" xfId="0" applyNumberFormat="1" applyFont="1" applyBorder="1" applyAlignment="1">
      <alignment vertical="top"/>
    </xf>
    <xf numFmtId="43" fontId="25" fillId="0" borderId="1" xfId="0" applyNumberFormat="1" applyFont="1" applyBorder="1" applyAlignment="1">
      <alignment vertical="top"/>
    </xf>
    <xf numFmtId="43" fontId="19" fillId="0" borderId="1" xfId="0" applyNumberFormat="1" applyFont="1" applyBorder="1" applyAlignment="1"/>
    <xf numFmtId="0" fontId="26" fillId="0" borderId="5" xfId="0" applyFont="1" applyBorder="1" applyAlignment="1">
      <alignment horizontal="left"/>
    </xf>
    <xf numFmtId="0" fontId="26" fillId="0" borderId="5" xfId="0" applyFont="1" applyBorder="1" applyAlignment="1">
      <alignment horizontal="left" wrapText="1"/>
    </xf>
    <xf numFmtId="0" fontId="54" fillId="0" borderId="1" xfId="0" applyFont="1" applyBorder="1" applyAlignment="1">
      <alignment horizontal="left"/>
    </xf>
    <xf numFmtId="43" fontId="40" fillId="0" borderId="1" xfId="1" applyFont="1" applyBorder="1" applyAlignment="1">
      <alignment horizontal="right"/>
    </xf>
    <xf numFmtId="43" fontId="26" fillId="0" borderId="1" xfId="1" applyFont="1" applyBorder="1"/>
    <xf numFmtId="0" fontId="26" fillId="0" borderId="5" xfId="0" applyFont="1" applyBorder="1"/>
    <xf numFmtId="43" fontId="26" fillId="0" borderId="5" xfId="1" applyFont="1" applyBorder="1"/>
    <xf numFmtId="43" fontId="14" fillId="0" borderId="5" xfId="1" applyFont="1" applyBorder="1"/>
    <xf numFmtId="43" fontId="66" fillId="0" borderId="4" xfId="0" applyNumberFormat="1" applyFont="1" applyBorder="1" applyAlignment="1">
      <alignment horizontal="center"/>
    </xf>
    <xf numFmtId="0" fontId="15" fillId="2" borderId="0" xfId="0" applyFont="1" applyFill="1" applyAlignment="1">
      <alignment wrapText="1"/>
    </xf>
    <xf numFmtId="43" fontId="15" fillId="0" borderId="12" xfId="1" applyFont="1" applyBorder="1"/>
    <xf numFmtId="0" fontId="34" fillId="0" borderId="25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23" fillId="0" borderId="26" xfId="0" applyFont="1" applyBorder="1"/>
    <xf numFmtId="43" fontId="22" fillId="0" borderId="26" xfId="0" applyNumberFormat="1" applyFont="1" applyBorder="1" applyAlignment="1">
      <alignment horizontal="center"/>
    </xf>
    <xf numFmtId="0" fontId="0" fillId="0" borderId="27" xfId="0" applyBorder="1" applyAlignment="1">
      <alignment horizontal="center"/>
    </xf>
    <xf numFmtId="43" fontId="10" fillId="0" borderId="12" xfId="0" applyNumberFormat="1" applyFont="1" applyBorder="1" applyAlignment="1">
      <alignment horizontal="center"/>
    </xf>
    <xf numFmtId="0" fontId="40" fillId="0" borderId="5" xfId="0" applyFont="1" applyBorder="1" applyAlignment="1">
      <alignment horizontal="right"/>
    </xf>
    <xf numFmtId="49" fontId="67" fillId="0" borderId="2" xfId="0" applyNumberFormat="1" applyFont="1" applyBorder="1" applyAlignment="1">
      <alignment wrapText="1"/>
    </xf>
    <xf numFmtId="0" fontId="68" fillId="0" borderId="6" xfId="0" applyFont="1" applyBorder="1" applyAlignment="1">
      <alignment wrapText="1"/>
    </xf>
    <xf numFmtId="4" fontId="63" fillId="0" borderId="6" xfId="0" applyNumberFormat="1" applyFont="1" applyBorder="1" applyAlignment="1">
      <alignment horizontal="right"/>
    </xf>
    <xf numFmtId="43" fontId="69" fillId="0" borderId="23" xfId="1" applyFont="1" applyBorder="1" applyAlignment="1">
      <alignment wrapText="1"/>
    </xf>
    <xf numFmtId="43" fontId="67" fillId="0" borderId="6" xfId="1" applyFont="1" applyBorder="1" applyAlignment="1">
      <alignment wrapText="1"/>
    </xf>
    <xf numFmtId="4" fontId="49" fillId="2" borderId="6" xfId="0" applyNumberFormat="1" applyFont="1" applyFill="1" applyBorder="1" applyAlignment="1">
      <alignment horizontal="right" wrapText="1"/>
    </xf>
    <xf numFmtId="49" fontId="67" fillId="0" borderId="1" xfId="0" applyNumberFormat="1" applyFont="1" applyBorder="1" applyAlignment="1">
      <alignment wrapText="1"/>
    </xf>
    <xf numFmtId="164" fontId="26" fillId="0" borderId="1" xfId="0" applyNumberFormat="1" applyFont="1" applyBorder="1"/>
    <xf numFmtId="43" fontId="18" fillId="0" borderId="1" xfId="1" applyFont="1" applyBorder="1" applyAlignment="1">
      <alignment horizontal="left"/>
    </xf>
    <xf numFmtId="4" fontId="25" fillId="0" borderId="1" xfId="0" applyNumberFormat="1" applyFont="1" applyBorder="1"/>
    <xf numFmtId="0" fontId="15" fillId="0" borderId="30" xfId="0" applyFont="1" applyBorder="1" applyAlignment="1">
      <alignment horizontal="center"/>
    </xf>
    <xf numFmtId="4" fontId="27" fillId="0" borderId="1" xfId="0" applyNumberFormat="1" applyFont="1" applyBorder="1" applyAlignment="1">
      <alignment horizontal="right" vertical="center"/>
    </xf>
    <xf numFmtId="0" fontId="23" fillId="0" borderId="0" xfId="0" applyFont="1" applyAlignment="1">
      <alignment wrapText="1"/>
    </xf>
    <xf numFmtId="43" fontId="22" fillId="0" borderId="1" xfId="1" applyFont="1" applyBorder="1" applyAlignment="1">
      <alignment horizontal="center"/>
    </xf>
    <xf numFmtId="0" fontId="23" fillId="0" borderId="13" xfId="0" applyFont="1" applyBorder="1" applyAlignment="1">
      <alignment wrapText="1"/>
    </xf>
    <xf numFmtId="1" fontId="14" fillId="0" borderId="20" xfId="0" applyNumberFormat="1" applyFont="1" applyBorder="1" applyAlignment="1">
      <alignment horizontal="right"/>
    </xf>
    <xf numFmtId="0" fontId="6" fillId="0" borderId="11" xfId="0" applyFont="1" applyBorder="1"/>
    <xf numFmtId="0" fontId="26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49" fontId="25" fillId="0" borderId="4" xfId="0" applyNumberFormat="1" applyFont="1" applyBorder="1" applyAlignment="1">
      <alignment horizontal="center"/>
    </xf>
    <xf numFmtId="43" fontId="22" fillId="0" borderId="4" xfId="1" applyFont="1" applyBorder="1" applyAlignment="1">
      <alignment horizontal="center" wrapText="1"/>
    </xf>
    <xf numFmtId="43" fontId="22" fillId="0" borderId="4" xfId="1" applyFont="1" applyBorder="1" applyAlignment="1">
      <alignment horizontal="center"/>
    </xf>
    <xf numFmtId="43" fontId="29" fillId="0" borderId="5" xfId="0" applyNumberFormat="1" applyFont="1" applyBorder="1" applyAlignment="1">
      <alignment horizontal="center"/>
    </xf>
    <xf numFmtId="0" fontId="38" fillId="0" borderId="12" xfId="0" applyFont="1" applyBorder="1"/>
    <xf numFmtId="0" fontId="25" fillId="0" borderId="0" xfId="0" applyFont="1" applyBorder="1"/>
    <xf numFmtId="1" fontId="14" fillId="0" borderId="0" xfId="0" applyNumberFormat="1" applyFont="1" applyBorder="1" applyAlignment="1">
      <alignment horizontal="right"/>
    </xf>
    <xf numFmtId="0" fontId="25" fillId="0" borderId="12" xfId="0" applyFont="1" applyBorder="1"/>
    <xf numFmtId="1" fontId="14" fillId="0" borderId="12" xfId="0" applyNumberFormat="1" applyFont="1" applyBorder="1" applyAlignment="1">
      <alignment horizontal="right"/>
    </xf>
    <xf numFmtId="43" fontId="29" fillId="0" borderId="12" xfId="0" applyNumberFormat="1" applyFont="1" applyBorder="1" applyAlignment="1">
      <alignment horizontal="center"/>
    </xf>
    <xf numFmtId="4" fontId="11" fillId="0" borderId="1" xfId="0" applyNumberFormat="1" applyFont="1" applyBorder="1"/>
    <xf numFmtId="0" fontId="15" fillId="0" borderId="6" xfId="0" applyFont="1" applyBorder="1"/>
    <xf numFmtId="4" fontId="11" fillId="0" borderId="5" xfId="0" applyNumberFormat="1" applyFont="1" applyBorder="1"/>
    <xf numFmtId="0" fontId="19" fillId="0" borderId="11" xfId="0" applyFont="1" applyBorder="1"/>
    <xf numFmtId="0" fontId="39" fillId="0" borderId="4" xfId="0" applyFont="1" applyBorder="1"/>
    <xf numFmtId="0" fontId="5" fillId="0" borderId="4" xfId="0" applyFont="1" applyBorder="1"/>
    <xf numFmtId="0" fontId="5" fillId="0" borderId="9" xfId="0" applyFont="1" applyBorder="1"/>
    <xf numFmtId="43" fontId="29" fillId="0" borderId="0" xfId="0" applyNumberFormat="1" applyFont="1" applyBorder="1" applyAlignment="1">
      <alignment horizontal="center"/>
    </xf>
    <xf numFmtId="43" fontId="17" fillId="0" borderId="6" xfId="0" applyNumberFormat="1" applyFont="1" applyBorder="1" applyAlignment="1">
      <alignment horizontal="center"/>
    </xf>
    <xf numFmtId="43" fontId="25" fillId="0" borderId="1" xfId="1" applyFont="1" applyBorder="1"/>
    <xf numFmtId="4" fontId="14" fillId="0" borderId="1" xfId="0" applyNumberFormat="1" applyFont="1" applyBorder="1"/>
    <xf numFmtId="4" fontId="14" fillId="0" borderId="5" xfId="0" applyNumberFormat="1" applyFont="1" applyBorder="1"/>
    <xf numFmtId="43" fontId="11" fillId="0" borderId="0" xfId="1" applyFont="1" applyBorder="1" applyAlignment="1">
      <alignment horizontal="center"/>
    </xf>
    <xf numFmtId="4" fontId="14" fillId="0" borderId="30" xfId="0" applyNumberFormat="1" applyFont="1" applyBorder="1"/>
    <xf numFmtId="49" fontId="25" fillId="0" borderId="12" xfId="0" applyNumberFormat="1" applyFont="1" applyBorder="1" applyAlignment="1">
      <alignment horizontal="right"/>
    </xf>
    <xf numFmtId="43" fontId="12" fillId="0" borderId="12" xfId="0" applyNumberFormat="1" applyFont="1" applyBorder="1" applyAlignment="1">
      <alignment horizontal="center"/>
    </xf>
    <xf numFmtId="49" fontId="27" fillId="0" borderId="12" xfId="0" applyNumberFormat="1" applyFont="1" applyBorder="1"/>
    <xf numFmtId="0" fontId="16" fillId="0" borderId="12" xfId="0" applyFont="1" applyBorder="1" applyAlignment="1">
      <alignment wrapText="1"/>
    </xf>
    <xf numFmtId="0" fontId="26" fillId="0" borderId="25" xfId="0" applyFont="1" applyBorder="1"/>
    <xf numFmtId="0" fontId="26" fillId="0" borderId="26" xfId="0" applyFont="1" applyBorder="1"/>
    <xf numFmtId="43" fontId="23" fillId="0" borderId="26" xfId="0" applyNumberFormat="1" applyFont="1" applyBorder="1"/>
    <xf numFmtId="0" fontId="25" fillId="0" borderId="27" xfId="0" applyFont="1" applyBorder="1"/>
    <xf numFmtId="43" fontId="6" fillId="0" borderId="0" xfId="1" applyFont="1"/>
    <xf numFmtId="0" fontId="25" fillId="0" borderId="12" xfId="0" applyFont="1" applyBorder="1" applyAlignment="1">
      <alignment horizontal="center"/>
    </xf>
    <xf numFmtId="43" fontId="14" fillId="0" borderId="12" xfId="1" applyFont="1" applyBorder="1" applyAlignment="1">
      <alignment horizontal="center" wrapText="1"/>
    </xf>
    <xf numFmtId="43" fontId="14" fillId="0" borderId="12" xfId="1" applyFont="1" applyBorder="1" applyAlignment="1">
      <alignment horizontal="center"/>
    </xf>
    <xf numFmtId="0" fontId="38" fillId="0" borderId="0" xfId="0" applyFont="1" applyBorder="1"/>
    <xf numFmtId="0" fontId="70" fillId="0" borderId="1" xfId="0" applyFont="1" applyBorder="1" applyAlignment="1">
      <alignment horizontal="center"/>
    </xf>
    <xf numFmtId="0" fontId="70" fillId="0" borderId="1" xfId="0" applyFont="1" applyBorder="1" applyAlignment="1">
      <alignment wrapText="1"/>
    </xf>
    <xf numFmtId="4" fontId="70" fillId="0" borderId="1" xfId="0" applyNumberFormat="1" applyFont="1" applyBorder="1" applyAlignment="1">
      <alignment horizontal="right"/>
    </xf>
    <xf numFmtId="4" fontId="71" fillId="0" borderId="0" xfId="0" applyNumberFormat="1" applyFont="1"/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49" fontId="62" fillId="0" borderId="6" xfId="0" applyNumberFormat="1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4" fontId="62" fillId="0" borderId="0" xfId="0" applyNumberFormat="1" applyFont="1" applyBorder="1" applyAlignment="1">
      <alignment horizontal="right"/>
    </xf>
    <xf numFmtId="0" fontId="51" fillId="0" borderId="0" xfId="0" applyFont="1" applyBorder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53" fillId="0" borderId="0" xfId="0" applyFont="1" applyAlignment="1">
      <alignment horizontal="left"/>
    </xf>
    <xf numFmtId="49" fontId="27" fillId="0" borderId="6" xfId="1" applyNumberFormat="1" applyFont="1" applyBorder="1" applyAlignment="1">
      <alignment horizontal="right"/>
    </xf>
    <xf numFmtId="0" fontId="40" fillId="0" borderId="5" xfId="0" applyFont="1" applyBorder="1" applyAlignment="1">
      <alignment horizontal="left"/>
    </xf>
    <xf numFmtId="0" fontId="23" fillId="0" borderId="4" xfId="0" applyFont="1" applyBorder="1" applyAlignment="1">
      <alignment horizontal="right"/>
    </xf>
    <xf numFmtId="43" fontId="15" fillId="0" borderId="1" xfId="1" applyFont="1" applyBorder="1" applyAlignment="1">
      <alignment horizontal="right"/>
    </xf>
    <xf numFmtId="43" fontId="39" fillId="0" borderId="1" xfId="1" applyFont="1" applyBorder="1"/>
    <xf numFmtId="0" fontId="31" fillId="0" borderId="0" xfId="0" applyFont="1" applyBorder="1" applyAlignment="1">
      <alignment horizontal="center"/>
    </xf>
    <xf numFmtId="0" fontId="26" fillId="0" borderId="0" xfId="0" applyFont="1" applyAlignment="1">
      <alignment horizontal="left"/>
    </xf>
    <xf numFmtId="41" fontId="9" fillId="0" borderId="0" xfId="1" applyNumberFormat="1" applyFont="1" applyBorder="1" applyAlignment="1">
      <alignment horizontal="center" vertical="center"/>
    </xf>
    <xf numFmtId="4" fontId="14" fillId="0" borderId="6" xfId="0" applyNumberFormat="1" applyFont="1" applyBorder="1"/>
    <xf numFmtId="0" fontId="15" fillId="0" borderId="25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43" fontId="39" fillId="0" borderId="31" xfId="0" applyNumberFormat="1" applyFont="1" applyBorder="1" applyAlignment="1">
      <alignment horizontal="left"/>
    </xf>
    <xf numFmtId="0" fontId="23" fillId="0" borderId="16" xfId="0" applyFont="1" applyBorder="1" applyAlignment="1">
      <alignment wrapText="1"/>
    </xf>
    <xf numFmtId="0" fontId="23" fillId="0" borderId="32" xfId="0" applyFont="1" applyBorder="1" applyAlignment="1">
      <alignment wrapText="1"/>
    </xf>
    <xf numFmtId="49" fontId="15" fillId="0" borderId="26" xfId="0" applyNumberFormat="1" applyFont="1" applyBorder="1"/>
    <xf numFmtId="43" fontId="11" fillId="0" borderId="0" xfId="0" applyNumberFormat="1" applyFont="1"/>
    <xf numFmtId="0" fontId="6" fillId="0" borderId="24" xfId="0" applyFont="1" applyBorder="1"/>
    <xf numFmtId="43" fontId="17" fillId="0" borderId="3" xfId="0" applyNumberFormat="1" applyFont="1" applyBorder="1" applyAlignment="1">
      <alignment horizontal="center"/>
    </xf>
    <xf numFmtId="43" fontId="17" fillId="0" borderId="33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23" fillId="0" borderId="0" xfId="0" applyFont="1" applyBorder="1" applyAlignment="1">
      <alignment horizontal="left"/>
    </xf>
    <xf numFmtId="4" fontId="15" fillId="0" borderId="12" xfId="0" applyNumberFormat="1" applyFont="1" applyBorder="1" applyAlignment="1">
      <alignment horizontal="center"/>
    </xf>
    <xf numFmtId="43" fontId="0" fillId="0" borderId="12" xfId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23" fillId="0" borderId="4" xfId="0" applyFont="1" applyBorder="1" applyAlignment="1">
      <alignment horizontal="left"/>
    </xf>
    <xf numFmtId="4" fontId="13" fillId="0" borderId="4" xfId="0" applyNumberFormat="1" applyFont="1" applyBorder="1" applyAlignment="1">
      <alignment horizontal="center"/>
    </xf>
    <xf numFmtId="43" fontId="13" fillId="0" borderId="4" xfId="1" applyFont="1" applyBorder="1" applyAlignment="1">
      <alignment horizontal="center"/>
    </xf>
    <xf numFmtId="49" fontId="25" fillId="0" borderId="19" xfId="0" applyNumberFormat="1" applyFont="1" applyBorder="1" applyAlignment="1">
      <alignment horizontal="right"/>
    </xf>
    <xf numFmtId="49" fontId="25" fillId="0" borderId="16" xfId="0" applyNumberFormat="1" applyFont="1" applyBorder="1"/>
    <xf numFmtId="43" fontId="12" fillId="0" borderId="16" xfId="0" applyNumberFormat="1" applyFont="1" applyBorder="1" applyAlignment="1">
      <alignment horizontal="center"/>
    </xf>
    <xf numFmtId="49" fontId="15" fillId="0" borderId="1" xfId="1" applyNumberFormat="1" applyFont="1" applyBorder="1"/>
    <xf numFmtId="4" fontId="15" fillId="0" borderId="29" xfId="0" applyNumberFormat="1" applyFont="1" applyBorder="1"/>
    <xf numFmtId="43" fontId="11" fillId="0" borderId="12" xfId="1" applyFont="1" applyBorder="1" applyAlignment="1">
      <alignment horizontal="center"/>
    </xf>
    <xf numFmtId="4" fontId="13" fillId="0" borderId="4" xfId="0" applyNumberFormat="1" applyFont="1" applyBorder="1" applyAlignment="1">
      <alignment horizontal="right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wrapText="1"/>
    </xf>
    <xf numFmtId="4" fontId="51" fillId="0" borderId="1" xfId="0" applyNumberFormat="1" applyFont="1" applyBorder="1" applyAlignment="1">
      <alignment horizontal="right"/>
    </xf>
    <xf numFmtId="43" fontId="23" fillId="2" borderId="1" xfId="1" applyFont="1" applyFill="1" applyBorder="1" applyAlignment="1">
      <alignment horizontal="right" wrapText="1"/>
    </xf>
    <xf numFmtId="0" fontId="25" fillId="0" borderId="19" xfId="0" applyFont="1" applyBorder="1"/>
    <xf numFmtId="0" fontId="38" fillId="0" borderId="16" xfId="0" applyFont="1" applyBorder="1"/>
    <xf numFmtId="1" fontId="14" fillId="0" borderId="16" xfId="0" applyNumberFormat="1" applyFont="1" applyBorder="1" applyAlignment="1">
      <alignment horizontal="right"/>
    </xf>
    <xf numFmtId="0" fontId="23" fillId="0" borderId="34" xfId="0" applyFont="1" applyBorder="1" applyAlignment="1">
      <alignment wrapText="1"/>
    </xf>
    <xf numFmtId="43" fontId="29" fillId="0" borderId="16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 wrapText="1"/>
    </xf>
    <xf numFmtId="4" fontId="18" fillId="0" borderId="0" xfId="0" applyNumberFormat="1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49" fontId="22" fillId="0" borderId="2" xfId="0" applyNumberFormat="1" applyFont="1" applyBorder="1" applyAlignment="1">
      <alignment horizontal="right" wrapText="1"/>
    </xf>
    <xf numFmtId="49" fontId="22" fillId="0" borderId="3" xfId="0" applyNumberFormat="1" applyFont="1" applyBorder="1" applyAlignment="1">
      <alignment horizontal="right" wrapText="1"/>
    </xf>
    <xf numFmtId="49" fontId="22" fillId="0" borderId="0" xfId="0" applyNumberFormat="1" applyFont="1" applyAlignment="1">
      <alignment horizontal="center"/>
    </xf>
    <xf numFmtId="49" fontId="22" fillId="0" borderId="23" xfId="0" applyNumberFormat="1" applyFont="1" applyBorder="1" applyAlignment="1">
      <alignment horizontal="right" wrapText="1"/>
    </xf>
    <xf numFmtId="0" fontId="31" fillId="0" borderId="0" xfId="0" applyFont="1" applyAlignment="1">
      <alignment horizontal="center"/>
    </xf>
    <xf numFmtId="0" fontId="31" fillId="0" borderId="2" xfId="0" applyFont="1" applyBorder="1" applyAlignment="1">
      <alignment horizontal="right"/>
    </xf>
    <xf numFmtId="0" fontId="31" fillId="0" borderId="3" xfId="0" applyFont="1" applyBorder="1" applyAlignment="1">
      <alignment horizontal="right"/>
    </xf>
    <xf numFmtId="0" fontId="33" fillId="2" borderId="2" xfId="0" applyFont="1" applyFill="1" applyBorder="1" applyAlignment="1">
      <alignment horizontal="right" wrapText="1"/>
    </xf>
    <xf numFmtId="0" fontId="33" fillId="2" borderId="29" xfId="0" applyFont="1" applyFill="1" applyBorder="1" applyAlignment="1">
      <alignment horizontal="right" wrapText="1"/>
    </xf>
    <xf numFmtId="0" fontId="33" fillId="2" borderId="3" xfId="0" applyFont="1" applyFill="1" applyBorder="1" applyAlignment="1">
      <alignment horizontal="right" wrapText="1"/>
    </xf>
    <xf numFmtId="0" fontId="31" fillId="0" borderId="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49" fontId="29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21" fillId="0" borderId="0" xfId="3" applyFont="1" applyAlignment="1">
      <alignment horizontal="center"/>
    </xf>
    <xf numFmtId="49" fontId="30" fillId="0" borderId="14" xfId="0" applyNumberFormat="1" applyFont="1" applyBorder="1" applyAlignment="1">
      <alignment horizontal="right" wrapText="1"/>
    </xf>
    <xf numFmtId="49" fontId="30" fillId="0" borderId="20" xfId="0" applyNumberFormat="1" applyFont="1" applyBorder="1" applyAlignment="1">
      <alignment horizontal="right" wrapText="1"/>
    </xf>
    <xf numFmtId="49" fontId="30" fillId="0" borderId="8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_Sheet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opLeftCell="A4" workbookViewId="0">
      <selection activeCell="E10" sqref="E10"/>
    </sheetView>
  </sheetViews>
  <sheetFormatPr defaultRowHeight="15"/>
  <cols>
    <col min="1" max="1" width="5.7109375" style="11" customWidth="1"/>
    <col min="2" max="2" width="65.85546875" customWidth="1"/>
    <col min="3" max="3" width="32.7109375" customWidth="1"/>
    <col min="5" max="5" width="18" bestFit="1" customWidth="1"/>
    <col min="8" max="8" width="16.85546875" bestFit="1" customWidth="1"/>
  </cols>
  <sheetData>
    <row r="1" spans="1:8" ht="27.75" customHeight="1">
      <c r="A1" s="677" t="s">
        <v>9</v>
      </c>
      <c r="B1" s="677"/>
      <c r="C1" s="677"/>
      <c r="D1" s="677"/>
    </row>
    <row r="2" spans="1:8" ht="30" customHeight="1">
      <c r="A2" s="678" t="s">
        <v>661</v>
      </c>
      <c r="B2" s="678"/>
      <c r="C2" s="678"/>
      <c r="D2" s="678"/>
    </row>
    <row r="3" spans="1:8" ht="22.5" customHeight="1" thickBot="1">
      <c r="A3" s="150" t="s">
        <v>10</v>
      </c>
      <c r="B3" s="151"/>
      <c r="C3" s="151"/>
      <c r="D3" s="12"/>
    </row>
    <row r="4" spans="1:8" ht="27" customHeight="1" thickBot="1">
      <c r="A4" s="152" t="s">
        <v>0</v>
      </c>
      <c r="B4" s="153" t="s">
        <v>11</v>
      </c>
      <c r="C4" s="154" t="s">
        <v>12</v>
      </c>
      <c r="D4" s="12"/>
    </row>
    <row r="5" spans="1:8" ht="30" customHeight="1">
      <c r="A5" s="155">
        <v>1</v>
      </c>
      <c r="B5" s="156" t="s">
        <v>497</v>
      </c>
      <c r="C5" s="630" t="s">
        <v>776</v>
      </c>
      <c r="D5" s="12"/>
    </row>
    <row r="6" spans="1:8" ht="27" customHeight="1">
      <c r="A6" s="158">
        <v>2</v>
      </c>
      <c r="B6" s="159" t="s">
        <v>13</v>
      </c>
      <c r="C6" s="160">
        <f>'Pooled fund personnel'!H12</f>
        <v>887104442</v>
      </c>
      <c r="D6" s="12"/>
    </row>
    <row r="7" spans="1:8" ht="27" customHeight="1">
      <c r="A7" s="158">
        <v>3</v>
      </c>
      <c r="B7" s="159" t="s">
        <v>14</v>
      </c>
      <c r="C7" s="160">
        <f>'Pooled Fund SP'!H41</f>
        <v>3411416341.1800003</v>
      </c>
      <c r="D7" s="12"/>
    </row>
    <row r="8" spans="1:8" ht="27" customHeight="1">
      <c r="A8" s="158">
        <v>4</v>
      </c>
      <c r="B8" s="159" t="s">
        <v>696</v>
      </c>
      <c r="C8" s="160">
        <f>C18</f>
        <v>10066473738.07</v>
      </c>
      <c r="D8" s="12"/>
    </row>
    <row r="9" spans="1:8" s="14" customFormat="1" ht="24" customHeight="1">
      <c r="A9" s="161"/>
      <c r="B9" s="162" t="s">
        <v>4</v>
      </c>
      <c r="C9" s="162">
        <f>SUM(C5:C8)</f>
        <v>14364994521.25</v>
      </c>
      <c r="D9" s="13"/>
    </row>
    <row r="10" spans="1:8" ht="24.75" customHeight="1">
      <c r="A10" s="158">
        <v>5</v>
      </c>
      <c r="B10" s="159" t="s">
        <v>15</v>
      </c>
      <c r="C10" s="162">
        <f>'summary Allo Pool fund recurent'!F32</f>
        <v>14364994521.25</v>
      </c>
      <c r="D10" s="12"/>
    </row>
    <row r="11" spans="1:8" ht="24.75" customHeight="1">
      <c r="A11" s="158"/>
      <c r="B11" s="572" t="s">
        <v>698</v>
      </c>
      <c r="C11" s="162">
        <f>C9-C10</f>
        <v>0</v>
      </c>
      <c r="D11" s="12"/>
      <c r="E11" s="3"/>
    </row>
    <row r="12" spans="1:8" ht="24.75" customHeight="1">
      <c r="A12" s="513"/>
      <c r="B12" s="514"/>
      <c r="C12" s="515"/>
      <c r="D12" s="12"/>
    </row>
    <row r="13" spans="1:8">
      <c r="A13" s="163"/>
      <c r="B13" s="164"/>
      <c r="C13" s="164"/>
      <c r="D13" s="12"/>
    </row>
    <row r="14" spans="1:8" ht="12.75" customHeight="1" thickBot="1">
      <c r="A14" s="150" t="s">
        <v>16</v>
      </c>
      <c r="B14" s="151"/>
      <c r="C14" s="151"/>
      <c r="D14" s="12"/>
    </row>
    <row r="15" spans="1:8" ht="27.75" customHeight="1" thickBot="1">
      <c r="A15" s="152" t="s">
        <v>0</v>
      </c>
      <c r="B15" s="153" t="s">
        <v>11</v>
      </c>
      <c r="C15" s="154" t="s">
        <v>12</v>
      </c>
      <c r="D15" s="12"/>
      <c r="H15" s="4"/>
    </row>
    <row r="16" spans="1:8" ht="27" customHeight="1">
      <c r="A16" s="155">
        <v>1</v>
      </c>
      <c r="B16" s="156" t="s">
        <v>17</v>
      </c>
      <c r="C16" s="157">
        <f>'Pooled Fund detail Capital'!H84</f>
        <v>13147300000</v>
      </c>
      <c r="D16" s="12"/>
    </row>
    <row r="17" spans="1:8" ht="26.25" customHeight="1">
      <c r="A17" s="158">
        <v>2</v>
      </c>
      <c r="B17" s="156" t="s">
        <v>780</v>
      </c>
      <c r="C17" s="165">
        <f>'Sumary Allo pooled fund capital'!D24</f>
        <v>3080826261.9299998</v>
      </c>
      <c r="D17" s="12"/>
      <c r="E17" s="3"/>
    </row>
    <row r="18" spans="1:8" ht="24" customHeight="1">
      <c r="A18" s="568">
        <v>3</v>
      </c>
      <c r="B18" s="570" t="s">
        <v>697</v>
      </c>
      <c r="C18" s="569">
        <f>C16-C17</f>
        <v>10066473738.07</v>
      </c>
      <c r="D18" s="12"/>
      <c r="H18" s="620"/>
    </row>
    <row r="19" spans="1:8">
      <c r="B19" s="12"/>
      <c r="C19" s="12"/>
      <c r="D19" s="12"/>
    </row>
    <row r="20" spans="1:8">
      <c r="A20" s="9"/>
      <c r="B20" s="10"/>
      <c r="C20" s="10"/>
      <c r="D20" s="12"/>
      <c r="E20" s="3"/>
    </row>
    <row r="21" spans="1:8">
      <c r="A21" s="20"/>
      <c r="B21" s="21"/>
      <c r="C21" s="21"/>
      <c r="D21" s="12"/>
    </row>
    <row r="22" spans="1:8">
      <c r="A22" s="15"/>
      <c r="B22" s="637">
        <v>1</v>
      </c>
      <c r="C22" s="23"/>
      <c r="D22" s="12"/>
    </row>
    <row r="23" spans="1:8">
      <c r="A23" s="15"/>
      <c r="B23" s="22"/>
      <c r="C23" s="16"/>
      <c r="D23" s="12"/>
    </row>
    <row r="24" spans="1:8">
      <c r="A24" s="20"/>
      <c r="B24" s="24"/>
      <c r="C24" s="25"/>
      <c r="D24" s="12"/>
    </row>
    <row r="25" spans="1:8">
      <c r="A25" s="17"/>
      <c r="B25" s="18"/>
      <c r="C25" s="18"/>
      <c r="D25" s="12"/>
    </row>
    <row r="26" spans="1:8">
      <c r="A26" s="17"/>
      <c r="B26" s="7"/>
      <c r="C26" s="7"/>
    </row>
    <row r="28" spans="1:8">
      <c r="A28" s="17"/>
      <c r="B28" s="7"/>
      <c r="C28" s="7"/>
    </row>
    <row r="29" spans="1:8" ht="23.25" customHeight="1">
      <c r="A29" s="675"/>
      <c r="B29" s="675"/>
      <c r="C29" s="675"/>
    </row>
    <row r="30" spans="1:8" ht="23.25" customHeight="1">
      <c r="A30" s="676"/>
      <c r="B30" s="676"/>
      <c r="C30" s="676"/>
    </row>
    <row r="31" spans="1:8" ht="21.75" customHeight="1">
      <c r="A31" s="9"/>
      <c r="B31" s="10"/>
      <c r="C31" s="10"/>
    </row>
    <row r="32" spans="1:8" ht="30" customHeight="1">
      <c r="A32" s="20"/>
      <c r="B32" s="21"/>
      <c r="C32" s="21"/>
    </row>
    <row r="33" spans="1:4" ht="29.25" customHeight="1">
      <c r="A33" s="15"/>
      <c r="B33" s="22"/>
      <c r="C33" s="23"/>
    </row>
    <row r="34" spans="1:4" ht="26.25" customHeight="1">
      <c r="A34" s="15"/>
      <c r="B34" s="22"/>
      <c r="C34" s="26"/>
    </row>
    <row r="35" spans="1:4" ht="26.25" customHeight="1">
      <c r="A35" s="15"/>
      <c r="B35" s="22"/>
      <c r="C35" s="27"/>
    </row>
    <row r="36" spans="1:4" ht="26.25" customHeight="1">
      <c r="A36" s="20"/>
      <c r="B36" s="16"/>
      <c r="C36" s="16"/>
    </row>
    <row r="37" spans="1:4">
      <c r="A37" s="15"/>
      <c r="B37" s="22"/>
      <c r="C37" s="16"/>
    </row>
    <row r="38" spans="1:4">
      <c r="A38" s="17"/>
      <c r="B38" s="18"/>
      <c r="C38" s="19"/>
    </row>
    <row r="39" spans="1:4">
      <c r="A39" s="17"/>
      <c r="B39" s="28"/>
      <c r="C39" s="7"/>
    </row>
    <row r="40" spans="1:4">
      <c r="B40" s="29"/>
    </row>
    <row r="41" spans="1:4">
      <c r="C41" s="12"/>
    </row>
    <row r="42" spans="1:4">
      <c r="C42" s="12"/>
    </row>
    <row r="43" spans="1:4">
      <c r="C43" s="12"/>
    </row>
    <row r="44" spans="1:4">
      <c r="C44" s="12"/>
    </row>
    <row r="45" spans="1:4">
      <c r="C45" s="12"/>
    </row>
    <row r="46" spans="1:4">
      <c r="C46" s="12"/>
      <c r="D46" s="30"/>
    </row>
    <row r="47" spans="1:4">
      <c r="C47" s="12"/>
      <c r="D47" s="30"/>
    </row>
    <row r="48" spans="1:4">
      <c r="C48" s="12"/>
      <c r="D48" s="30"/>
    </row>
    <row r="49" spans="2:4">
      <c r="C49" s="12"/>
      <c r="D49" s="30"/>
    </row>
    <row r="50" spans="2:4">
      <c r="C50" s="12"/>
      <c r="D50" s="30"/>
    </row>
    <row r="51" spans="2:4" ht="25.5" customHeight="1">
      <c r="C51" s="12"/>
      <c r="D51" s="30"/>
    </row>
    <row r="52" spans="2:4" ht="27" customHeight="1">
      <c r="C52" s="12"/>
      <c r="D52" s="30"/>
    </row>
    <row r="53" spans="2:4" ht="32.25" customHeight="1">
      <c r="D53" s="30"/>
    </row>
    <row r="54" spans="2:4">
      <c r="B54" s="30"/>
      <c r="C54" s="30"/>
      <c r="D54" s="30"/>
    </row>
    <row r="55" spans="2:4">
      <c r="B55" s="30"/>
      <c r="C55" s="30"/>
      <c r="D55" s="30"/>
    </row>
    <row r="56" spans="2:4">
      <c r="B56" s="30"/>
      <c r="C56" s="30"/>
      <c r="D56" s="30"/>
    </row>
    <row r="57" spans="2:4">
      <c r="B57" s="30"/>
      <c r="C57" s="30"/>
      <c r="D57" s="30"/>
    </row>
    <row r="58" spans="2:4">
      <c r="B58" s="30"/>
      <c r="C58" s="30"/>
      <c r="D58" s="30"/>
    </row>
    <row r="59" spans="2:4">
      <c r="B59" s="30"/>
      <c r="C59" s="30"/>
      <c r="D59" s="30"/>
    </row>
    <row r="60" spans="2:4">
      <c r="B60" s="30"/>
      <c r="C60" s="30"/>
      <c r="D60" s="30"/>
    </row>
    <row r="61" spans="2:4">
      <c r="B61" s="30"/>
      <c r="C61" s="30"/>
      <c r="D61" s="30"/>
    </row>
    <row r="62" spans="2:4">
      <c r="B62" s="30"/>
      <c r="C62" s="30"/>
      <c r="D62" s="30"/>
    </row>
    <row r="63" spans="2:4">
      <c r="B63" s="30"/>
      <c r="C63" s="30"/>
      <c r="D63" s="30"/>
    </row>
    <row r="64" spans="2:4">
      <c r="B64" s="30"/>
      <c r="C64" s="30"/>
      <c r="D64" s="30"/>
    </row>
    <row r="65" spans="2:4">
      <c r="B65" s="30"/>
      <c r="C65" s="30"/>
      <c r="D65" s="30"/>
    </row>
    <row r="66" spans="2:4">
      <c r="B66" s="30"/>
      <c r="C66" s="30"/>
      <c r="D66" s="30"/>
    </row>
    <row r="67" spans="2:4">
      <c r="B67" s="30"/>
      <c r="C67" s="30"/>
      <c r="D67" s="30"/>
    </row>
    <row r="68" spans="2:4">
      <c r="B68" s="30"/>
      <c r="C68" s="30"/>
      <c r="D68" s="30"/>
    </row>
    <row r="69" spans="2:4">
      <c r="B69" s="30"/>
      <c r="C69" s="30"/>
      <c r="D69" s="30"/>
    </row>
    <row r="70" spans="2:4">
      <c r="B70" s="30"/>
      <c r="C70" s="30"/>
      <c r="D70" s="30"/>
    </row>
    <row r="71" spans="2:4">
      <c r="B71" s="30"/>
      <c r="C71" s="30"/>
      <c r="D71" s="30"/>
    </row>
    <row r="72" spans="2:4">
      <c r="B72" s="30"/>
      <c r="C72" s="30"/>
      <c r="D72" s="30"/>
    </row>
    <row r="73" spans="2:4">
      <c r="B73" s="30"/>
      <c r="C73" s="30"/>
      <c r="D73" s="30"/>
    </row>
    <row r="74" spans="2:4">
      <c r="B74" s="30"/>
      <c r="C74" s="30"/>
      <c r="D74" s="30"/>
    </row>
    <row r="75" spans="2:4">
      <c r="B75" s="30"/>
      <c r="C75" s="30"/>
      <c r="D75" s="30"/>
    </row>
    <row r="76" spans="2:4">
      <c r="B76" s="30"/>
      <c r="C76" s="30"/>
      <c r="D76" s="30"/>
    </row>
    <row r="77" spans="2:4">
      <c r="B77" s="30"/>
      <c r="C77" s="30"/>
      <c r="D77" s="30"/>
    </row>
    <row r="78" spans="2:4">
      <c r="B78" s="30"/>
      <c r="C78" s="30"/>
      <c r="D78" s="30"/>
    </row>
    <row r="79" spans="2:4">
      <c r="B79" s="30"/>
      <c r="C79" s="30"/>
      <c r="D79" s="30"/>
    </row>
    <row r="80" spans="2:4">
      <c r="B80" s="30"/>
      <c r="C80" s="30"/>
      <c r="D80" s="30"/>
    </row>
    <row r="81" spans="2:4">
      <c r="B81" s="30"/>
      <c r="C81" s="30"/>
      <c r="D81" s="30"/>
    </row>
    <row r="82" spans="2:4">
      <c r="B82" s="30"/>
      <c r="C82" s="30"/>
      <c r="D82" s="30"/>
    </row>
    <row r="83" spans="2:4">
      <c r="B83" s="30"/>
      <c r="C83" s="30"/>
      <c r="D83" s="30"/>
    </row>
    <row r="84" spans="2:4">
      <c r="B84" s="30"/>
      <c r="C84" s="30"/>
      <c r="D84" s="30"/>
    </row>
    <row r="85" spans="2:4">
      <c r="B85" s="30"/>
      <c r="C85" s="30"/>
      <c r="D85" s="30"/>
    </row>
    <row r="86" spans="2:4">
      <c r="B86" s="30"/>
      <c r="C86" s="30"/>
      <c r="D86" s="30"/>
    </row>
    <row r="87" spans="2:4">
      <c r="B87" s="30"/>
      <c r="C87" s="30"/>
      <c r="D87" s="30"/>
    </row>
    <row r="88" spans="2:4">
      <c r="B88" s="30"/>
      <c r="C88" s="30"/>
      <c r="D88" s="30"/>
    </row>
    <row r="89" spans="2:4">
      <c r="B89" s="30"/>
      <c r="C89" s="30"/>
      <c r="D89" s="30"/>
    </row>
    <row r="90" spans="2:4">
      <c r="B90" s="30"/>
      <c r="C90" s="30"/>
      <c r="D90" s="30"/>
    </row>
    <row r="91" spans="2:4">
      <c r="B91" s="30"/>
      <c r="C91" s="30"/>
      <c r="D91" s="30"/>
    </row>
  </sheetData>
  <mergeCells count="4">
    <mergeCell ref="A29:C29"/>
    <mergeCell ref="A30:C30"/>
    <mergeCell ref="A1:D1"/>
    <mergeCell ref="A2:D2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E8" sqref="E8"/>
    </sheetView>
  </sheetViews>
  <sheetFormatPr defaultRowHeight="15"/>
  <cols>
    <col min="2" max="2" width="31.42578125" customWidth="1"/>
    <col min="3" max="3" width="22.7109375" customWidth="1"/>
    <col min="4" max="4" width="21.140625" customWidth="1"/>
  </cols>
  <sheetData>
    <row r="1" spans="1:5" ht="15.75">
      <c r="A1" s="689" t="s">
        <v>207</v>
      </c>
      <c r="B1" s="689"/>
      <c r="C1" s="689"/>
      <c r="D1" s="689"/>
      <c r="E1" s="689"/>
    </row>
    <row r="2" spans="1:5" ht="15.75">
      <c r="A2" s="689" t="s">
        <v>778</v>
      </c>
      <c r="B2" s="689"/>
      <c r="C2" s="689"/>
      <c r="D2" s="689"/>
      <c r="E2" s="689"/>
    </row>
    <row r="3" spans="1:5" ht="15.75">
      <c r="A3" s="623"/>
      <c r="B3" s="623"/>
      <c r="C3" s="623"/>
      <c r="D3" s="623"/>
      <c r="E3" s="623"/>
    </row>
    <row r="4" spans="1:5">
      <c r="A4" s="679" t="s">
        <v>781</v>
      </c>
      <c r="B4" s="679"/>
      <c r="C4" s="679"/>
      <c r="D4" s="679"/>
      <c r="E4" s="679"/>
    </row>
    <row r="5" spans="1:5" ht="31.5">
      <c r="A5" s="82" t="s">
        <v>0</v>
      </c>
      <c r="B5" s="82" t="s">
        <v>623</v>
      </c>
      <c r="C5" s="410" t="s">
        <v>624</v>
      </c>
      <c r="D5" s="410" t="s">
        <v>625</v>
      </c>
      <c r="E5" s="291"/>
    </row>
    <row r="6" spans="1:5" ht="21.95" customHeight="1">
      <c r="A6" s="407">
        <v>1</v>
      </c>
      <c r="B6" s="408" t="s">
        <v>617</v>
      </c>
      <c r="C6" s="409">
        <v>10000000000</v>
      </c>
      <c r="D6" s="409">
        <v>179671147.08000001</v>
      </c>
      <c r="E6" s="49"/>
    </row>
    <row r="7" spans="1:5" ht="21.95" customHeight="1">
      <c r="A7" s="403">
        <v>2</v>
      </c>
      <c r="B7" s="404" t="s">
        <v>206</v>
      </c>
      <c r="C7" s="405">
        <v>14686558819.290001</v>
      </c>
      <c r="D7" s="405">
        <v>734327940.96000004</v>
      </c>
      <c r="E7" s="49"/>
    </row>
    <row r="8" spans="1:5" ht="27" customHeight="1">
      <c r="A8" s="403">
        <v>3</v>
      </c>
      <c r="B8" s="404" t="s">
        <v>618</v>
      </c>
      <c r="C8" s="405">
        <v>4195167123.5599999</v>
      </c>
      <c r="D8" s="405">
        <v>41331500.880000003</v>
      </c>
      <c r="E8" s="49"/>
    </row>
    <row r="9" spans="1:5" ht="21.95" customHeight="1">
      <c r="A9" s="403">
        <v>4</v>
      </c>
      <c r="B9" s="404" t="s">
        <v>619</v>
      </c>
      <c r="C9" s="405">
        <v>15169000000</v>
      </c>
      <c r="D9" s="405">
        <v>1416000000</v>
      </c>
      <c r="E9" s="49"/>
    </row>
    <row r="10" spans="1:5" ht="21.95" customHeight="1">
      <c r="A10" s="403">
        <v>5</v>
      </c>
      <c r="B10" s="404" t="s">
        <v>620</v>
      </c>
      <c r="C10" s="405">
        <v>27000000000</v>
      </c>
      <c r="D10" s="405">
        <v>7360447136.3999996</v>
      </c>
      <c r="E10" s="49"/>
    </row>
    <row r="11" spans="1:5" ht="21.95" customHeight="1">
      <c r="A11" s="403">
        <v>6</v>
      </c>
      <c r="B11" s="404" t="s">
        <v>621</v>
      </c>
      <c r="C11" s="405">
        <v>344360000</v>
      </c>
      <c r="D11" s="405">
        <v>291378512.45999998</v>
      </c>
      <c r="E11" s="49"/>
    </row>
    <row r="12" spans="1:5" ht="21.95" customHeight="1">
      <c r="A12" s="403">
        <v>7</v>
      </c>
      <c r="B12" s="404" t="s">
        <v>622</v>
      </c>
      <c r="C12" s="405">
        <v>3901878378.3800001</v>
      </c>
      <c r="D12" s="405">
        <v>3576721846.8499999</v>
      </c>
      <c r="E12" s="49"/>
    </row>
    <row r="13" spans="1:5" ht="21.95" customHeight="1">
      <c r="A13" s="690" t="s">
        <v>41</v>
      </c>
      <c r="B13" s="691"/>
      <c r="C13" s="406">
        <f>SUM(C6:C12)</f>
        <v>75296964321.230011</v>
      </c>
      <c r="D13" s="406">
        <f>SUM(D6:D12)</f>
        <v>13599878084.629999</v>
      </c>
      <c r="E13" s="49"/>
    </row>
    <row r="28" spans="3:3">
      <c r="C28" s="636" t="s">
        <v>161</v>
      </c>
    </row>
  </sheetData>
  <mergeCells count="4">
    <mergeCell ref="A1:E1"/>
    <mergeCell ref="A2:E2"/>
    <mergeCell ref="A13:B13"/>
    <mergeCell ref="A4:E4"/>
  </mergeCells>
  <pageMargins left="2.2000000000000002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G14" sqref="G14"/>
    </sheetView>
  </sheetViews>
  <sheetFormatPr defaultRowHeight="15"/>
  <cols>
    <col min="1" max="1" width="4.5703125" customWidth="1"/>
    <col min="2" max="2" width="14.140625" customWidth="1"/>
    <col min="3" max="3" width="29" customWidth="1"/>
    <col min="4" max="4" width="19.7109375" customWidth="1"/>
    <col min="5" max="5" width="15.85546875" customWidth="1"/>
    <col min="6" max="7" width="19.85546875" bestFit="1" customWidth="1"/>
  </cols>
  <sheetData>
    <row r="1" spans="1:7">
      <c r="A1" s="83"/>
    </row>
    <row r="2" spans="1:7" ht="22.5" customHeight="1">
      <c r="A2" s="689" t="s">
        <v>207</v>
      </c>
      <c r="B2" s="689"/>
      <c r="C2" s="689"/>
      <c r="D2" s="689"/>
      <c r="E2" s="689"/>
      <c r="F2" s="689"/>
      <c r="G2" s="689"/>
    </row>
    <row r="3" spans="1:7" ht="15.75">
      <c r="A3" s="695" t="s">
        <v>779</v>
      </c>
      <c r="B3" s="695"/>
      <c r="C3" s="695"/>
      <c r="D3" s="695"/>
      <c r="E3" s="695"/>
      <c r="F3" s="695"/>
      <c r="G3" s="695"/>
    </row>
    <row r="4" spans="1:7" ht="15.75">
      <c r="A4" s="635"/>
      <c r="B4" s="635"/>
      <c r="C4" s="635"/>
      <c r="D4" s="635"/>
      <c r="E4" s="635"/>
      <c r="F4" s="635"/>
      <c r="G4" s="635"/>
    </row>
    <row r="5" spans="1:7" ht="15.75">
      <c r="A5" s="696" t="s">
        <v>782</v>
      </c>
      <c r="B5" s="696"/>
      <c r="C5" s="696"/>
      <c r="D5" s="696"/>
      <c r="E5" s="696"/>
      <c r="F5" s="696"/>
      <c r="G5" s="696"/>
    </row>
    <row r="6" spans="1:7" ht="66.75" customHeight="1">
      <c r="A6" s="84"/>
      <c r="B6" s="84" t="s">
        <v>172</v>
      </c>
      <c r="C6" s="84" t="s">
        <v>173</v>
      </c>
      <c r="D6" s="84" t="s">
        <v>210</v>
      </c>
      <c r="E6" s="84" t="s">
        <v>208</v>
      </c>
      <c r="F6" s="413" t="s">
        <v>626</v>
      </c>
      <c r="G6" s="413" t="s">
        <v>627</v>
      </c>
    </row>
    <row r="7" spans="1:7" ht="32.25" customHeight="1">
      <c r="A7" s="85">
        <v>1</v>
      </c>
      <c r="B7" s="86">
        <v>22070104</v>
      </c>
      <c r="C7" s="87" t="s">
        <v>179</v>
      </c>
      <c r="D7" s="86">
        <v>0</v>
      </c>
      <c r="E7" s="411">
        <v>0</v>
      </c>
      <c r="F7" s="414">
        <v>7024000000</v>
      </c>
      <c r="G7" s="414">
        <v>6214636800</v>
      </c>
    </row>
    <row r="8" spans="1:7" ht="23.1" customHeight="1">
      <c r="A8" s="85">
        <v>2</v>
      </c>
      <c r="B8" s="86">
        <v>22070107</v>
      </c>
      <c r="C8" s="87" t="s">
        <v>209</v>
      </c>
      <c r="D8" s="86">
        <v>0</v>
      </c>
      <c r="E8" s="411">
        <v>0</v>
      </c>
      <c r="F8" s="414">
        <v>1350000000</v>
      </c>
      <c r="G8" s="414">
        <v>2093364678.3</v>
      </c>
    </row>
    <row r="9" spans="1:7" ht="23.1" customHeight="1">
      <c r="A9" s="692" t="s">
        <v>3</v>
      </c>
      <c r="B9" s="693"/>
      <c r="C9" s="694"/>
      <c r="D9" s="84">
        <v>0</v>
      </c>
      <c r="E9" s="412">
        <v>0</v>
      </c>
      <c r="F9" s="88">
        <f>SUM(F7:F8)</f>
        <v>8374000000</v>
      </c>
      <c r="G9" s="88">
        <f>SUM(G7:G8)</f>
        <v>8308001478.3000002</v>
      </c>
    </row>
    <row r="28" spans="4:4">
      <c r="D28" s="621" t="s">
        <v>162</v>
      </c>
    </row>
    <row r="29" spans="4:4">
      <c r="D29" s="621"/>
    </row>
  </sheetData>
  <mergeCells count="4">
    <mergeCell ref="A9:C9"/>
    <mergeCell ref="A2:G2"/>
    <mergeCell ref="A3:G3"/>
    <mergeCell ref="A5:G5"/>
  </mergeCells>
  <pageMargins left="0.8" right="0.5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79"/>
  <sheetViews>
    <sheetView topLeftCell="A61" workbookViewId="0">
      <selection activeCell="F78" sqref="F78"/>
    </sheetView>
  </sheetViews>
  <sheetFormatPr defaultRowHeight="15"/>
  <cols>
    <col min="1" max="1" width="4" style="65" bestFit="1" customWidth="1"/>
    <col min="2" max="2" width="16.7109375" style="65" customWidth="1"/>
    <col min="3" max="3" width="49" style="65" customWidth="1"/>
    <col min="4" max="4" width="15" style="49" customWidth="1"/>
    <col min="5" max="5" width="13.85546875" style="49" customWidth="1"/>
    <col min="6" max="6" width="14.5703125" style="49" customWidth="1"/>
    <col min="7" max="7" width="15.140625" customWidth="1"/>
    <col min="10" max="10" width="22.85546875" customWidth="1"/>
    <col min="11" max="11" width="12.140625" customWidth="1"/>
  </cols>
  <sheetData>
    <row r="1" spans="1:7">
      <c r="A1" s="699" t="s">
        <v>9</v>
      </c>
      <c r="B1" s="699"/>
      <c r="C1" s="699"/>
      <c r="D1" s="699"/>
      <c r="E1" s="699"/>
      <c r="F1" s="699"/>
      <c r="G1" s="699"/>
    </row>
    <row r="2" spans="1:7">
      <c r="A2" s="699" t="s">
        <v>203</v>
      </c>
      <c r="B2" s="699"/>
      <c r="C2" s="699"/>
      <c r="D2" s="699"/>
      <c r="E2" s="699"/>
      <c r="F2" s="699"/>
      <c r="G2" s="699"/>
    </row>
    <row r="3" spans="1:7">
      <c r="A3" s="699" t="s">
        <v>662</v>
      </c>
      <c r="B3" s="699"/>
      <c r="C3" s="699"/>
      <c r="D3" s="699"/>
      <c r="E3" s="699"/>
      <c r="F3" s="699"/>
      <c r="G3" s="699"/>
    </row>
    <row r="4" spans="1:7" ht="15.75" thickBot="1">
      <c r="A4" s="700" t="s">
        <v>151</v>
      </c>
      <c r="B4" s="700"/>
      <c r="C4" s="700"/>
      <c r="D4" s="700"/>
      <c r="E4" s="700"/>
      <c r="F4" s="700"/>
      <c r="G4" s="700"/>
    </row>
    <row r="5" spans="1:7" ht="26.25">
      <c r="A5" s="71" t="s">
        <v>0</v>
      </c>
      <c r="B5" s="72" t="s">
        <v>152</v>
      </c>
      <c r="C5" s="73" t="s">
        <v>153</v>
      </c>
      <c r="D5" s="73" t="s">
        <v>154</v>
      </c>
      <c r="E5" s="73" t="s">
        <v>155</v>
      </c>
      <c r="F5" s="73" t="s">
        <v>37</v>
      </c>
      <c r="G5" s="73" t="s">
        <v>41</v>
      </c>
    </row>
    <row r="6" spans="1:7" ht="15.75" thickBot="1">
      <c r="A6" s="79"/>
      <c r="B6" s="80" t="s">
        <v>156</v>
      </c>
      <c r="C6" s="79"/>
      <c r="D6" s="81" t="s">
        <v>157</v>
      </c>
      <c r="E6" s="81" t="s">
        <v>157</v>
      </c>
      <c r="F6" s="81" t="s">
        <v>157</v>
      </c>
      <c r="G6" s="81" t="s">
        <v>157</v>
      </c>
    </row>
    <row r="7" spans="1:7">
      <c r="A7" s="456">
        <v>1</v>
      </c>
      <c r="B7" s="457">
        <v>11100100100</v>
      </c>
      <c r="C7" s="458" t="s">
        <v>42</v>
      </c>
      <c r="D7" s="459">
        <v>162668304.03</v>
      </c>
      <c r="E7" s="459">
        <v>450000000</v>
      </c>
      <c r="F7" s="459">
        <v>2280000000</v>
      </c>
      <c r="G7" s="460">
        <f>D7+E7+F7</f>
        <v>2892668304.0299997</v>
      </c>
    </row>
    <row r="8" spans="1:7">
      <c r="A8" s="446">
        <v>2</v>
      </c>
      <c r="B8" s="447">
        <v>11100100200</v>
      </c>
      <c r="C8" s="448" t="s">
        <v>43</v>
      </c>
      <c r="D8" s="449">
        <v>40546169.649999999</v>
      </c>
      <c r="E8" s="449">
        <v>250000000</v>
      </c>
      <c r="F8" s="449">
        <f>'Details SP'!H112</f>
        <v>230000000</v>
      </c>
      <c r="G8" s="461">
        <f t="shared" ref="G8:G72" si="0">D8+E8+F8</f>
        <v>520546169.64999998</v>
      </c>
    </row>
    <row r="9" spans="1:7">
      <c r="A9" s="446">
        <v>3</v>
      </c>
      <c r="B9" s="447">
        <v>11100200100</v>
      </c>
      <c r="C9" s="448" t="s">
        <v>182</v>
      </c>
      <c r="D9" s="447">
        <v>0</v>
      </c>
      <c r="E9" s="449">
        <v>72000000</v>
      </c>
      <c r="F9" s="447">
        <v>0</v>
      </c>
      <c r="G9" s="461">
        <f t="shared" si="0"/>
        <v>72000000</v>
      </c>
    </row>
    <row r="10" spans="1:7">
      <c r="A10" s="446">
        <v>4</v>
      </c>
      <c r="B10" s="447">
        <v>11100200300</v>
      </c>
      <c r="C10" s="448" t="s">
        <v>628</v>
      </c>
      <c r="D10" s="447">
        <v>0</v>
      </c>
      <c r="E10" s="449">
        <v>60000000</v>
      </c>
      <c r="F10" s="447">
        <v>0</v>
      </c>
      <c r="G10" s="461">
        <f t="shared" si="0"/>
        <v>60000000</v>
      </c>
    </row>
    <row r="11" spans="1:7">
      <c r="A11" s="446">
        <v>5</v>
      </c>
      <c r="B11" s="447">
        <v>11100300100</v>
      </c>
      <c r="C11" s="448" t="s">
        <v>44</v>
      </c>
      <c r="D11" s="447">
        <v>0</v>
      </c>
      <c r="E11" s="449">
        <v>5400000</v>
      </c>
      <c r="F11" s="449">
        <v>12000000</v>
      </c>
      <c r="G11" s="461">
        <f t="shared" si="0"/>
        <v>17400000</v>
      </c>
    </row>
    <row r="12" spans="1:7">
      <c r="A12" s="446">
        <v>6</v>
      </c>
      <c r="B12" s="447">
        <v>11101000100</v>
      </c>
      <c r="C12" s="448" t="s">
        <v>46</v>
      </c>
      <c r="D12" s="447">
        <v>0</v>
      </c>
      <c r="E12" s="449">
        <v>15000000</v>
      </c>
      <c r="F12" s="447">
        <v>0</v>
      </c>
      <c r="G12" s="461">
        <f t="shared" si="0"/>
        <v>15000000</v>
      </c>
    </row>
    <row r="13" spans="1:7">
      <c r="A13" s="446">
        <v>7</v>
      </c>
      <c r="B13" s="447">
        <v>11101300100</v>
      </c>
      <c r="C13" s="448" t="s">
        <v>110</v>
      </c>
      <c r="D13" s="447">
        <v>0</v>
      </c>
      <c r="E13" s="449">
        <v>9504000</v>
      </c>
      <c r="F13" s="447">
        <v>0</v>
      </c>
      <c r="G13" s="461">
        <f t="shared" si="0"/>
        <v>9504000</v>
      </c>
    </row>
    <row r="14" spans="1:7">
      <c r="A14" s="446">
        <v>8</v>
      </c>
      <c r="B14" s="447">
        <v>11101300200</v>
      </c>
      <c r="C14" s="448" t="s">
        <v>28</v>
      </c>
      <c r="D14" s="449">
        <v>91060784.469999999</v>
      </c>
      <c r="E14" s="449">
        <v>15000000</v>
      </c>
      <c r="F14" s="449">
        <f>'Details SP'!H139</f>
        <v>199000000</v>
      </c>
      <c r="G14" s="461">
        <f t="shared" si="0"/>
        <v>305060784.47000003</v>
      </c>
    </row>
    <row r="15" spans="1:7">
      <c r="A15" s="446">
        <v>9</v>
      </c>
      <c r="B15" s="447">
        <v>11101400100</v>
      </c>
      <c r="C15" s="448" t="s">
        <v>111</v>
      </c>
      <c r="D15" s="449">
        <v>59799242.280000001</v>
      </c>
      <c r="E15" s="449">
        <v>10000000</v>
      </c>
      <c r="F15" s="449">
        <f>2874000000-1500000000</f>
        <v>1374000000</v>
      </c>
      <c r="G15" s="461">
        <f t="shared" si="0"/>
        <v>1443799242.28</v>
      </c>
    </row>
    <row r="16" spans="1:7">
      <c r="A16" s="446">
        <v>10</v>
      </c>
      <c r="B16" s="447">
        <v>11101700100</v>
      </c>
      <c r="C16" s="448" t="s">
        <v>112</v>
      </c>
      <c r="D16" s="449">
        <v>64313077.869999997</v>
      </c>
      <c r="E16" s="449">
        <v>16000000</v>
      </c>
      <c r="F16" s="449">
        <v>40000000</v>
      </c>
      <c r="G16" s="461">
        <f t="shared" si="0"/>
        <v>120313077.87</v>
      </c>
    </row>
    <row r="17" spans="1:7">
      <c r="A17" s="446">
        <v>11</v>
      </c>
      <c r="B17" s="447">
        <v>11102000100</v>
      </c>
      <c r="C17" s="448" t="s">
        <v>47</v>
      </c>
      <c r="D17" s="447">
        <v>0</v>
      </c>
      <c r="E17" s="449">
        <v>10080000</v>
      </c>
      <c r="F17" s="447">
        <v>0</v>
      </c>
      <c r="G17" s="461">
        <f t="shared" si="0"/>
        <v>10080000</v>
      </c>
    </row>
    <row r="18" spans="1:7">
      <c r="A18" s="446">
        <v>12</v>
      </c>
      <c r="B18" s="447">
        <v>11102100100</v>
      </c>
      <c r="C18" s="448" t="s">
        <v>48</v>
      </c>
      <c r="D18" s="449">
        <v>13156754.82</v>
      </c>
      <c r="E18" s="449">
        <v>12600000</v>
      </c>
      <c r="F18" s="449">
        <v>113500000</v>
      </c>
      <c r="G18" s="461">
        <f t="shared" si="0"/>
        <v>139256754.81999999</v>
      </c>
    </row>
    <row r="19" spans="1:7">
      <c r="A19" s="446">
        <v>13</v>
      </c>
      <c r="B19" s="447">
        <v>11102100200</v>
      </c>
      <c r="C19" s="448" t="s">
        <v>49</v>
      </c>
      <c r="D19" s="449">
        <v>25822677.329999998</v>
      </c>
      <c r="E19" s="449">
        <v>18000000</v>
      </c>
      <c r="F19" s="449">
        <f>'Details SP'!H171</f>
        <v>45000000</v>
      </c>
      <c r="G19" s="461">
        <f t="shared" si="0"/>
        <v>88822677.329999998</v>
      </c>
    </row>
    <row r="20" spans="1:7">
      <c r="A20" s="446">
        <v>14</v>
      </c>
      <c r="B20" s="447">
        <v>11103300100</v>
      </c>
      <c r="C20" s="448" t="s">
        <v>50</v>
      </c>
      <c r="D20" s="447">
        <v>0</v>
      </c>
      <c r="E20" s="449">
        <v>10000000</v>
      </c>
      <c r="F20" s="447">
        <v>0</v>
      </c>
      <c r="G20" s="461">
        <f t="shared" si="0"/>
        <v>10000000</v>
      </c>
    </row>
    <row r="21" spans="1:7">
      <c r="A21" s="446">
        <v>15</v>
      </c>
      <c r="B21" s="447">
        <v>11103500100</v>
      </c>
      <c r="C21" s="448" t="s">
        <v>187</v>
      </c>
      <c r="D21" s="449">
        <v>31641975.300000001</v>
      </c>
      <c r="E21" s="449">
        <v>12600000</v>
      </c>
      <c r="F21" s="449">
        <v>2000000</v>
      </c>
      <c r="G21" s="461">
        <f t="shared" si="0"/>
        <v>46241975.299999997</v>
      </c>
    </row>
    <row r="22" spans="1:7">
      <c r="A22" s="446">
        <v>16</v>
      </c>
      <c r="B22" s="447">
        <v>11103500200</v>
      </c>
      <c r="C22" s="448" t="s">
        <v>113</v>
      </c>
      <c r="D22" s="449">
        <v>21848576.5</v>
      </c>
      <c r="E22" s="449">
        <v>9000000</v>
      </c>
      <c r="F22" s="449">
        <v>15000000</v>
      </c>
      <c r="G22" s="461">
        <f t="shared" si="0"/>
        <v>45848576.5</v>
      </c>
    </row>
    <row r="23" spans="1:7">
      <c r="A23" s="446">
        <v>17</v>
      </c>
      <c r="B23" s="447">
        <v>11103700100</v>
      </c>
      <c r="C23" s="448" t="s">
        <v>51</v>
      </c>
      <c r="D23" s="447">
        <v>0</v>
      </c>
      <c r="E23" s="449">
        <v>4500000</v>
      </c>
      <c r="F23" s="449">
        <v>35000000</v>
      </c>
      <c r="G23" s="461">
        <f t="shared" si="0"/>
        <v>39500000</v>
      </c>
    </row>
    <row r="24" spans="1:7">
      <c r="A24" s="446">
        <v>18</v>
      </c>
      <c r="B24" s="447">
        <v>11103800100</v>
      </c>
      <c r="C24" s="448" t="s">
        <v>52</v>
      </c>
      <c r="D24" s="447">
        <v>0</v>
      </c>
      <c r="E24" s="449">
        <v>12600000</v>
      </c>
      <c r="F24" s="449">
        <v>43000000</v>
      </c>
      <c r="G24" s="461">
        <f t="shared" si="0"/>
        <v>55600000</v>
      </c>
    </row>
    <row r="25" spans="1:7" ht="16.5" customHeight="1">
      <c r="A25" s="446">
        <v>19</v>
      </c>
      <c r="B25" s="447">
        <v>11104400100</v>
      </c>
      <c r="C25" s="448" t="s">
        <v>629</v>
      </c>
      <c r="D25" s="449">
        <v>16564045.359999999</v>
      </c>
      <c r="E25" s="449">
        <v>26000000</v>
      </c>
      <c r="F25" s="449">
        <v>50000000</v>
      </c>
      <c r="G25" s="461">
        <f t="shared" si="0"/>
        <v>92564045.359999999</v>
      </c>
    </row>
    <row r="26" spans="1:7">
      <c r="A26" s="446">
        <v>20</v>
      </c>
      <c r="B26" s="447">
        <v>11105100100</v>
      </c>
      <c r="C26" s="448" t="s">
        <v>53</v>
      </c>
      <c r="D26" s="447">
        <v>0</v>
      </c>
      <c r="E26" s="449">
        <f>'Details SP'!H18</f>
        <v>10000000</v>
      </c>
      <c r="F26" s="447">
        <v>0</v>
      </c>
      <c r="G26" s="461">
        <f t="shared" si="0"/>
        <v>10000000</v>
      </c>
    </row>
    <row r="27" spans="1:7" ht="23.25">
      <c r="A27" s="446">
        <v>21</v>
      </c>
      <c r="B27" s="447">
        <v>11113200100</v>
      </c>
      <c r="C27" s="448" t="s">
        <v>54</v>
      </c>
      <c r="D27" s="447">
        <v>0</v>
      </c>
      <c r="E27" s="449">
        <v>10000000</v>
      </c>
      <c r="F27" s="449">
        <v>11050000</v>
      </c>
      <c r="G27" s="461">
        <f t="shared" si="0"/>
        <v>21050000</v>
      </c>
    </row>
    <row r="28" spans="1:7">
      <c r="A28" s="446">
        <v>22</v>
      </c>
      <c r="B28" s="447">
        <v>11200300100</v>
      </c>
      <c r="C28" s="448" t="s">
        <v>55</v>
      </c>
      <c r="D28" s="449">
        <v>353695875.31999999</v>
      </c>
      <c r="E28" s="449">
        <v>1152500000</v>
      </c>
      <c r="F28" s="449">
        <v>1095000000</v>
      </c>
      <c r="G28" s="461">
        <f t="shared" si="0"/>
        <v>2601195875.3199997</v>
      </c>
    </row>
    <row r="29" spans="1:7">
      <c r="A29" s="446">
        <v>23</v>
      </c>
      <c r="B29" s="447">
        <v>11200400100</v>
      </c>
      <c r="C29" s="448" t="s">
        <v>56</v>
      </c>
      <c r="D29" s="449">
        <v>46752863.75</v>
      </c>
      <c r="E29" s="449">
        <v>40000000</v>
      </c>
      <c r="F29" s="449">
        <v>30000000</v>
      </c>
      <c r="G29" s="461">
        <f t="shared" si="0"/>
        <v>116752863.75</v>
      </c>
    </row>
    <row r="30" spans="1:7">
      <c r="A30" s="446">
        <v>24</v>
      </c>
      <c r="B30" s="447">
        <v>11200700200</v>
      </c>
      <c r="C30" s="448" t="s">
        <v>114</v>
      </c>
      <c r="D30" s="447">
        <v>0</v>
      </c>
      <c r="E30" s="449">
        <v>8000000</v>
      </c>
      <c r="F30" s="447">
        <v>0</v>
      </c>
      <c r="G30" s="461">
        <f t="shared" si="0"/>
        <v>8000000</v>
      </c>
    </row>
    <row r="31" spans="1:7">
      <c r="A31" s="446">
        <v>25</v>
      </c>
      <c r="B31" s="447">
        <v>11202100100</v>
      </c>
      <c r="C31" s="448" t="s">
        <v>115</v>
      </c>
      <c r="D31" s="447">
        <v>0</v>
      </c>
      <c r="E31" s="449">
        <v>96000000</v>
      </c>
      <c r="F31" s="447">
        <v>0</v>
      </c>
      <c r="G31" s="461">
        <f t="shared" si="0"/>
        <v>96000000</v>
      </c>
    </row>
    <row r="32" spans="1:7">
      <c r="A32" s="446">
        <v>26</v>
      </c>
      <c r="B32" s="447">
        <v>11202300100</v>
      </c>
      <c r="C32" s="448" t="s">
        <v>116</v>
      </c>
      <c r="D32" s="447">
        <v>0</v>
      </c>
      <c r="E32" s="449">
        <v>79500000</v>
      </c>
      <c r="F32" s="447">
        <v>0</v>
      </c>
      <c r="G32" s="461">
        <f t="shared" si="0"/>
        <v>79500000</v>
      </c>
    </row>
    <row r="33" spans="1:7">
      <c r="A33" s="468"/>
      <c r="B33" s="469"/>
      <c r="C33" s="470"/>
      <c r="D33" s="473" t="s">
        <v>163</v>
      </c>
      <c r="E33" s="471"/>
      <c r="F33" s="469"/>
      <c r="G33" s="472"/>
    </row>
    <row r="34" spans="1:7">
      <c r="A34" s="456">
        <v>27</v>
      </c>
      <c r="B34" s="457">
        <v>12300100100</v>
      </c>
      <c r="C34" s="458" t="s">
        <v>412</v>
      </c>
      <c r="D34" s="459">
        <v>231559610.5</v>
      </c>
      <c r="E34" s="459">
        <v>24000000</v>
      </c>
      <c r="F34" s="459">
        <v>300000000</v>
      </c>
      <c r="G34" s="460">
        <f t="shared" si="0"/>
        <v>555559610.5</v>
      </c>
    </row>
    <row r="35" spans="1:7">
      <c r="A35" s="446">
        <v>28</v>
      </c>
      <c r="B35" s="447">
        <v>12300300100</v>
      </c>
      <c r="C35" s="448" t="s">
        <v>57</v>
      </c>
      <c r="D35" s="449">
        <v>214022075.81</v>
      </c>
      <c r="E35" s="447">
        <v>0</v>
      </c>
      <c r="F35" s="447">
        <v>0</v>
      </c>
      <c r="G35" s="461">
        <f t="shared" si="0"/>
        <v>214022075.81</v>
      </c>
    </row>
    <row r="36" spans="1:7">
      <c r="A36" s="446">
        <v>29</v>
      </c>
      <c r="B36" s="447">
        <v>12300400200</v>
      </c>
      <c r="C36" s="448" t="s">
        <v>27</v>
      </c>
      <c r="D36" s="449">
        <v>65064662</v>
      </c>
      <c r="E36" s="449">
        <v>13000000</v>
      </c>
      <c r="F36" s="447">
        <v>0</v>
      </c>
      <c r="G36" s="461">
        <f t="shared" si="0"/>
        <v>78064662</v>
      </c>
    </row>
    <row r="37" spans="1:7">
      <c r="A37" s="446">
        <v>30</v>
      </c>
      <c r="B37" s="447">
        <v>12301300100</v>
      </c>
      <c r="C37" s="448" t="s">
        <v>117</v>
      </c>
      <c r="D37" s="447">
        <v>0</v>
      </c>
      <c r="E37" s="449">
        <v>1980000</v>
      </c>
      <c r="F37" s="449">
        <v>8000000</v>
      </c>
      <c r="G37" s="461">
        <f t="shared" si="0"/>
        <v>9980000</v>
      </c>
    </row>
    <row r="38" spans="1:7">
      <c r="A38" s="446">
        <v>31</v>
      </c>
      <c r="B38" s="447">
        <v>12305600100</v>
      </c>
      <c r="C38" s="448" t="s">
        <v>118</v>
      </c>
      <c r="D38" s="447">
        <v>0</v>
      </c>
      <c r="E38" s="449">
        <v>10000000</v>
      </c>
      <c r="F38" s="449">
        <v>10000000</v>
      </c>
      <c r="G38" s="461">
        <f t="shared" si="0"/>
        <v>20000000</v>
      </c>
    </row>
    <row r="39" spans="1:7">
      <c r="A39" s="446">
        <v>32</v>
      </c>
      <c r="B39" s="447">
        <v>12400700100</v>
      </c>
      <c r="C39" s="448" t="s">
        <v>119</v>
      </c>
      <c r="D39" s="447">
        <v>0</v>
      </c>
      <c r="E39" s="449">
        <v>5400000</v>
      </c>
      <c r="F39" s="447">
        <v>0</v>
      </c>
      <c r="G39" s="461">
        <f t="shared" si="0"/>
        <v>5400000</v>
      </c>
    </row>
    <row r="40" spans="1:7">
      <c r="A40" s="446">
        <v>33</v>
      </c>
      <c r="B40" s="447">
        <v>12500100100</v>
      </c>
      <c r="C40" s="448" t="s">
        <v>58</v>
      </c>
      <c r="D40" s="447">
        <v>0</v>
      </c>
      <c r="E40" s="449">
        <v>48000000</v>
      </c>
      <c r="F40" s="447">
        <v>0</v>
      </c>
      <c r="G40" s="461">
        <f t="shared" si="0"/>
        <v>48000000</v>
      </c>
    </row>
    <row r="41" spans="1:7">
      <c r="A41" s="446">
        <v>34</v>
      </c>
      <c r="B41" s="447">
        <v>12500100300</v>
      </c>
      <c r="C41" s="448" t="s">
        <v>120</v>
      </c>
      <c r="D41" s="447">
        <v>0</v>
      </c>
      <c r="E41" s="449">
        <v>3800000</v>
      </c>
      <c r="F41" s="447">
        <v>0</v>
      </c>
      <c r="G41" s="461">
        <f t="shared" si="0"/>
        <v>3800000</v>
      </c>
    </row>
    <row r="42" spans="1:7">
      <c r="A42" s="446">
        <v>35</v>
      </c>
      <c r="B42" s="447">
        <v>12500600100</v>
      </c>
      <c r="C42" s="448" t="s">
        <v>59</v>
      </c>
      <c r="D42" s="447">
        <v>0</v>
      </c>
      <c r="E42" s="449">
        <v>16200000</v>
      </c>
      <c r="F42" s="449">
        <f>'Details SP'!H204</f>
        <v>19000000</v>
      </c>
      <c r="G42" s="461">
        <f t="shared" si="0"/>
        <v>35200000</v>
      </c>
    </row>
    <row r="43" spans="1:7">
      <c r="A43" s="446">
        <v>36</v>
      </c>
      <c r="B43" s="447">
        <v>12500700100</v>
      </c>
      <c r="C43" s="448" t="s">
        <v>60</v>
      </c>
      <c r="D43" s="449">
        <v>167061884.66</v>
      </c>
      <c r="E43" s="449">
        <v>42000000</v>
      </c>
      <c r="F43" s="449">
        <v>333000000</v>
      </c>
      <c r="G43" s="461">
        <f t="shared" si="0"/>
        <v>542061884.65999997</v>
      </c>
    </row>
    <row r="44" spans="1:7" ht="23.25">
      <c r="A44" s="446">
        <v>37</v>
      </c>
      <c r="B44" s="447">
        <v>12500700200</v>
      </c>
      <c r="C44" s="448" t="s">
        <v>121</v>
      </c>
      <c r="D44" s="447">
        <v>0</v>
      </c>
      <c r="E44" s="449">
        <v>4500000</v>
      </c>
      <c r="F44" s="449">
        <v>1050000</v>
      </c>
      <c r="G44" s="461">
        <f t="shared" si="0"/>
        <v>5550000</v>
      </c>
    </row>
    <row r="45" spans="1:7">
      <c r="A45" s="446">
        <v>38</v>
      </c>
      <c r="B45" s="447">
        <v>12500700300</v>
      </c>
      <c r="C45" s="448" t="s">
        <v>630</v>
      </c>
      <c r="D45" s="447">
        <v>0</v>
      </c>
      <c r="E45" s="449">
        <v>16000000</v>
      </c>
      <c r="F45" s="447">
        <v>0</v>
      </c>
      <c r="G45" s="461">
        <f t="shared" si="0"/>
        <v>16000000</v>
      </c>
    </row>
    <row r="46" spans="1:7">
      <c r="A46" s="446">
        <v>39</v>
      </c>
      <c r="B46" s="447">
        <v>12500800100</v>
      </c>
      <c r="C46" s="448" t="s">
        <v>122</v>
      </c>
      <c r="D46" s="447">
        <v>0</v>
      </c>
      <c r="E46" s="449">
        <v>32000000</v>
      </c>
      <c r="F46" s="449">
        <v>51000000</v>
      </c>
      <c r="G46" s="461">
        <f t="shared" si="0"/>
        <v>83000000</v>
      </c>
    </row>
    <row r="47" spans="1:7">
      <c r="A47" s="446">
        <v>40</v>
      </c>
      <c r="B47" s="447">
        <v>14000100100</v>
      </c>
      <c r="C47" s="448" t="s">
        <v>61</v>
      </c>
      <c r="D47" s="449">
        <v>342731290.79000002</v>
      </c>
      <c r="E47" s="449">
        <v>40000000</v>
      </c>
      <c r="F47" s="449">
        <v>30000000</v>
      </c>
      <c r="G47" s="461">
        <f t="shared" si="0"/>
        <v>412731290.79000002</v>
      </c>
    </row>
    <row r="48" spans="1:7">
      <c r="A48" s="446">
        <v>41</v>
      </c>
      <c r="B48" s="447">
        <v>14000200100</v>
      </c>
      <c r="C48" s="448" t="s">
        <v>62</v>
      </c>
      <c r="D48" s="449">
        <v>59231735.909999996</v>
      </c>
      <c r="E48" s="449">
        <v>12000000</v>
      </c>
      <c r="F48" s="449">
        <v>6400000</v>
      </c>
      <c r="G48" s="461">
        <f t="shared" si="0"/>
        <v>77631735.909999996</v>
      </c>
    </row>
    <row r="49" spans="1:10">
      <c r="A49" s="446">
        <v>42</v>
      </c>
      <c r="B49" s="447">
        <v>14700100100</v>
      </c>
      <c r="C49" s="448" t="s">
        <v>63</v>
      </c>
      <c r="D49" s="449">
        <v>73431811.069999993</v>
      </c>
      <c r="E49" s="449">
        <v>30000000</v>
      </c>
      <c r="F49" s="449">
        <v>25000000</v>
      </c>
      <c r="G49" s="461">
        <f t="shared" si="0"/>
        <v>128431811.06999999</v>
      </c>
    </row>
    <row r="50" spans="1:10" ht="27.75" customHeight="1">
      <c r="A50" s="446">
        <v>43</v>
      </c>
      <c r="B50" s="447">
        <v>14800100100</v>
      </c>
      <c r="C50" s="448" t="s">
        <v>64</v>
      </c>
      <c r="D50" s="449">
        <v>51649447.710000001</v>
      </c>
      <c r="E50" s="449">
        <v>18000000</v>
      </c>
      <c r="F50" s="449">
        <v>5000000</v>
      </c>
      <c r="G50" s="461">
        <f t="shared" si="0"/>
        <v>74649447.710000008</v>
      </c>
    </row>
    <row r="51" spans="1:10" ht="23.25">
      <c r="A51" s="446">
        <v>44</v>
      </c>
      <c r="B51" s="447">
        <v>14800100200</v>
      </c>
      <c r="C51" s="448" t="s">
        <v>123</v>
      </c>
      <c r="D51" s="447">
        <v>0</v>
      </c>
      <c r="E51" s="449">
        <v>2000000</v>
      </c>
      <c r="F51" s="447">
        <v>0</v>
      </c>
      <c r="G51" s="461">
        <f t="shared" si="0"/>
        <v>2000000</v>
      </c>
    </row>
    <row r="52" spans="1:10" ht="17.25" customHeight="1">
      <c r="A52" s="446">
        <v>45</v>
      </c>
      <c r="B52" s="447">
        <v>21500100100</v>
      </c>
      <c r="C52" s="448" t="s">
        <v>631</v>
      </c>
      <c r="D52" s="449">
        <v>465892508.12</v>
      </c>
      <c r="E52" s="449">
        <v>20000000</v>
      </c>
      <c r="F52" s="449">
        <v>31000000</v>
      </c>
      <c r="G52" s="461">
        <f t="shared" si="0"/>
        <v>516892508.12</v>
      </c>
    </row>
    <row r="53" spans="1:10" ht="20.25" customHeight="1">
      <c r="A53" s="446">
        <v>46</v>
      </c>
      <c r="B53" s="447">
        <v>21502100100</v>
      </c>
      <c r="C53" s="448" t="s">
        <v>124</v>
      </c>
      <c r="D53" s="447">
        <v>0</v>
      </c>
      <c r="E53" s="449">
        <v>405000</v>
      </c>
      <c r="F53" s="447">
        <v>0</v>
      </c>
      <c r="G53" s="461">
        <f t="shared" si="0"/>
        <v>405000</v>
      </c>
    </row>
    <row r="54" spans="1:10">
      <c r="A54" s="446">
        <v>47</v>
      </c>
      <c r="B54" s="447">
        <v>21510200100</v>
      </c>
      <c r="C54" s="448" t="s">
        <v>65</v>
      </c>
      <c r="D54" s="449">
        <v>265626656.72</v>
      </c>
      <c r="E54" s="449">
        <v>5400000</v>
      </c>
      <c r="F54" s="449">
        <v>5250000</v>
      </c>
      <c r="G54" s="461">
        <f t="shared" si="0"/>
        <v>276276656.72000003</v>
      </c>
    </row>
    <row r="55" spans="1:10" ht="15" customHeight="1">
      <c r="A55" s="446">
        <v>48</v>
      </c>
      <c r="B55" s="447">
        <v>21510200200</v>
      </c>
      <c r="C55" s="448" t="s">
        <v>190</v>
      </c>
      <c r="D55" s="447">
        <v>0</v>
      </c>
      <c r="E55" s="449">
        <v>9000000</v>
      </c>
      <c r="F55" s="447">
        <v>0</v>
      </c>
      <c r="G55" s="461">
        <f t="shared" si="0"/>
        <v>9000000</v>
      </c>
    </row>
    <row r="56" spans="1:10" ht="15" customHeight="1">
      <c r="A56" s="446">
        <v>49</v>
      </c>
      <c r="B56" s="447">
        <v>21511000100</v>
      </c>
      <c r="C56" s="448" t="s">
        <v>66</v>
      </c>
      <c r="D56" s="449">
        <v>59729270.119999997</v>
      </c>
      <c r="E56" s="449">
        <v>6000000</v>
      </c>
      <c r="F56" s="447">
        <v>0</v>
      </c>
      <c r="G56" s="461">
        <f t="shared" si="0"/>
        <v>65729270.119999997</v>
      </c>
    </row>
    <row r="57" spans="1:10">
      <c r="A57" s="446">
        <v>50</v>
      </c>
      <c r="B57" s="447">
        <v>21511500100</v>
      </c>
      <c r="C57" s="448" t="s">
        <v>67</v>
      </c>
      <c r="D57" s="447">
        <v>0</v>
      </c>
      <c r="E57" s="449">
        <v>6600000</v>
      </c>
      <c r="F57" s="447">
        <v>0</v>
      </c>
      <c r="G57" s="461">
        <f t="shared" si="0"/>
        <v>6600000</v>
      </c>
    </row>
    <row r="58" spans="1:10">
      <c r="A58" s="446">
        <v>51</v>
      </c>
      <c r="B58" s="447">
        <v>21511600100</v>
      </c>
      <c r="C58" s="448" t="s">
        <v>68</v>
      </c>
      <c r="D58" s="447">
        <v>0</v>
      </c>
      <c r="E58" s="449">
        <f>'Details SP'!H52</f>
        <v>8000000</v>
      </c>
      <c r="F58" s="447">
        <v>0</v>
      </c>
      <c r="G58" s="461">
        <f t="shared" si="0"/>
        <v>8000000</v>
      </c>
    </row>
    <row r="59" spans="1:10">
      <c r="A59" s="446">
        <v>52</v>
      </c>
      <c r="B59" s="447">
        <v>22000100100</v>
      </c>
      <c r="C59" s="448" t="s">
        <v>69</v>
      </c>
      <c r="D59" s="449">
        <v>136671546.99000001</v>
      </c>
      <c r="E59" s="449">
        <v>150000000</v>
      </c>
      <c r="F59" s="449">
        <f>'Details SP'!H266</f>
        <v>5750404300</v>
      </c>
      <c r="G59" s="461">
        <f t="shared" si="0"/>
        <v>6037075846.9899998</v>
      </c>
      <c r="J59" s="4"/>
    </row>
    <row r="60" spans="1:10" ht="15" customHeight="1">
      <c r="A60" s="446">
        <v>53</v>
      </c>
      <c r="B60" s="447">
        <v>22000100200</v>
      </c>
      <c r="C60" s="448" t="s">
        <v>125</v>
      </c>
      <c r="D60" s="447">
        <v>0</v>
      </c>
      <c r="E60" s="449">
        <v>20000000</v>
      </c>
      <c r="F60" s="447">
        <v>0</v>
      </c>
      <c r="G60" s="461">
        <f t="shared" si="0"/>
        <v>20000000</v>
      </c>
    </row>
    <row r="61" spans="1:10">
      <c r="A61" s="446">
        <v>54</v>
      </c>
      <c r="B61" s="447">
        <v>22000200100</v>
      </c>
      <c r="C61" s="448" t="s">
        <v>70</v>
      </c>
      <c r="D61" s="447">
        <v>0</v>
      </c>
      <c r="E61" s="449">
        <v>18000000</v>
      </c>
      <c r="F61" s="447">
        <v>0</v>
      </c>
      <c r="G61" s="461">
        <f t="shared" si="0"/>
        <v>18000000</v>
      </c>
    </row>
    <row r="62" spans="1:10">
      <c r="A62" s="468"/>
      <c r="B62" s="469"/>
      <c r="C62" s="470"/>
      <c r="D62" s="473" t="s">
        <v>649</v>
      </c>
      <c r="E62" s="471"/>
      <c r="F62" s="469"/>
      <c r="G62" s="472"/>
    </row>
    <row r="63" spans="1:10" ht="15" customHeight="1">
      <c r="A63" s="456">
        <v>55</v>
      </c>
      <c r="B63" s="457">
        <v>22000700100</v>
      </c>
      <c r="C63" s="458" t="s">
        <v>71</v>
      </c>
      <c r="D63" s="459">
        <v>155844857</v>
      </c>
      <c r="E63" s="459">
        <v>120000000</v>
      </c>
      <c r="F63" s="459">
        <f>'Details SP'!H298</f>
        <v>111000000</v>
      </c>
      <c r="G63" s="460">
        <f t="shared" si="0"/>
        <v>386844857</v>
      </c>
    </row>
    <row r="64" spans="1:10">
      <c r="A64" s="446">
        <v>56</v>
      </c>
      <c r="B64" s="447">
        <v>22000800100</v>
      </c>
      <c r="C64" s="448" t="s">
        <v>72</v>
      </c>
      <c r="D64" s="449">
        <v>309253487.95999998</v>
      </c>
      <c r="E64" s="449">
        <v>150000000</v>
      </c>
      <c r="F64" s="449">
        <f>'Details SP'!H332</f>
        <v>610000000</v>
      </c>
      <c r="G64" s="461">
        <f t="shared" si="0"/>
        <v>1069253487.96</v>
      </c>
    </row>
    <row r="65" spans="1:7">
      <c r="A65" s="446">
        <v>57</v>
      </c>
      <c r="B65" s="447">
        <v>22200100100</v>
      </c>
      <c r="C65" s="448" t="s">
        <v>632</v>
      </c>
      <c r="D65" s="449">
        <v>75394776.959999993</v>
      </c>
      <c r="E65" s="449">
        <v>50000000</v>
      </c>
      <c r="F65" s="449">
        <v>20000000</v>
      </c>
      <c r="G65" s="461">
        <f t="shared" si="0"/>
        <v>145394776.95999998</v>
      </c>
    </row>
    <row r="66" spans="1:7">
      <c r="A66" s="446">
        <v>58</v>
      </c>
      <c r="B66" s="447">
        <v>22200900100</v>
      </c>
      <c r="C66" s="448" t="s">
        <v>126</v>
      </c>
      <c r="D66" s="447">
        <v>0</v>
      </c>
      <c r="E66" s="449">
        <v>2970000</v>
      </c>
      <c r="F66" s="449">
        <v>700000</v>
      </c>
      <c r="G66" s="461">
        <f t="shared" si="0"/>
        <v>3670000</v>
      </c>
    </row>
    <row r="67" spans="1:7">
      <c r="A67" s="446">
        <v>59</v>
      </c>
      <c r="B67" s="447">
        <v>22205100100</v>
      </c>
      <c r="C67" s="448" t="s">
        <v>73</v>
      </c>
      <c r="D67" s="449">
        <v>28804938.879999999</v>
      </c>
      <c r="E67" s="449">
        <f>'Details SP'!H83</f>
        <v>13000000</v>
      </c>
      <c r="F67" s="447">
        <v>0</v>
      </c>
      <c r="G67" s="461">
        <f t="shared" si="0"/>
        <v>41804938.879999995</v>
      </c>
    </row>
    <row r="68" spans="1:7">
      <c r="A68" s="446">
        <v>60</v>
      </c>
      <c r="B68" s="447">
        <v>22205500100</v>
      </c>
      <c r="C68" s="448" t="s">
        <v>127</v>
      </c>
      <c r="D68" s="447">
        <v>0</v>
      </c>
      <c r="E68" s="449">
        <v>324000</v>
      </c>
      <c r="F68" s="447">
        <v>0</v>
      </c>
      <c r="G68" s="461">
        <f t="shared" si="0"/>
        <v>324000</v>
      </c>
    </row>
    <row r="69" spans="1:7">
      <c r="A69" s="446">
        <v>61</v>
      </c>
      <c r="B69" s="447">
        <v>22800700100</v>
      </c>
      <c r="C69" s="448" t="s">
        <v>74</v>
      </c>
      <c r="D69" s="449">
        <v>96059798.829999998</v>
      </c>
      <c r="E69" s="449">
        <v>30000000</v>
      </c>
      <c r="F69" s="447">
        <v>0</v>
      </c>
      <c r="G69" s="461">
        <f t="shared" si="0"/>
        <v>126059798.83</v>
      </c>
    </row>
    <row r="70" spans="1:7" ht="24.75" customHeight="1">
      <c r="A70" s="446">
        <v>62</v>
      </c>
      <c r="B70" s="447">
        <v>22800700200</v>
      </c>
      <c r="C70" s="448" t="s">
        <v>633</v>
      </c>
      <c r="D70" s="447">
        <v>0</v>
      </c>
      <c r="E70" s="449">
        <v>9000000</v>
      </c>
      <c r="F70" s="447">
        <v>0</v>
      </c>
      <c r="G70" s="461">
        <f t="shared" si="0"/>
        <v>9000000</v>
      </c>
    </row>
    <row r="71" spans="1:7" ht="15.75" customHeight="1">
      <c r="A71" s="446">
        <v>63</v>
      </c>
      <c r="B71" s="447">
        <v>22900100100</v>
      </c>
      <c r="C71" s="448" t="s">
        <v>634</v>
      </c>
      <c r="D71" s="449">
        <v>149031367.56</v>
      </c>
      <c r="E71" s="449">
        <v>25000000</v>
      </c>
      <c r="F71" s="449">
        <v>271500000</v>
      </c>
      <c r="G71" s="461">
        <f t="shared" si="0"/>
        <v>445531367.56</v>
      </c>
    </row>
    <row r="72" spans="1:7" ht="23.25">
      <c r="A72" s="446">
        <v>64</v>
      </c>
      <c r="B72" s="447">
        <v>22905500100</v>
      </c>
      <c r="C72" s="448" t="s">
        <v>635</v>
      </c>
      <c r="D72" s="447">
        <v>0</v>
      </c>
      <c r="E72" s="449">
        <v>6980000</v>
      </c>
      <c r="F72" s="447">
        <v>0</v>
      </c>
      <c r="G72" s="461">
        <f t="shared" si="0"/>
        <v>6980000</v>
      </c>
    </row>
    <row r="73" spans="1:7">
      <c r="A73" s="446">
        <v>65</v>
      </c>
      <c r="B73" s="447">
        <v>23100300100</v>
      </c>
      <c r="C73" s="448" t="s">
        <v>75</v>
      </c>
      <c r="D73" s="449">
        <v>144934645.03999999</v>
      </c>
      <c r="E73" s="449">
        <v>18000000</v>
      </c>
      <c r="F73" s="449">
        <v>500000000</v>
      </c>
      <c r="G73" s="461">
        <f t="shared" ref="G73:G138" si="1">D73+E73+F73</f>
        <v>662934645.03999996</v>
      </c>
    </row>
    <row r="74" spans="1:7">
      <c r="A74" s="446">
        <v>66</v>
      </c>
      <c r="B74" s="447">
        <v>23305100100</v>
      </c>
      <c r="C74" s="448" t="s">
        <v>636</v>
      </c>
      <c r="D74" s="449">
        <v>581101017.04999995</v>
      </c>
      <c r="E74" s="449">
        <v>32000000</v>
      </c>
      <c r="F74" s="449">
        <v>52000000</v>
      </c>
      <c r="G74" s="461">
        <f t="shared" si="1"/>
        <v>665101017.04999995</v>
      </c>
    </row>
    <row r="75" spans="1:7">
      <c r="A75" s="446">
        <v>67</v>
      </c>
      <c r="B75" s="447">
        <v>23305100200</v>
      </c>
      <c r="C75" s="448" t="s">
        <v>194</v>
      </c>
      <c r="D75" s="447">
        <v>0</v>
      </c>
      <c r="E75" s="449">
        <v>14000000</v>
      </c>
      <c r="F75" s="447">
        <v>0</v>
      </c>
      <c r="G75" s="461">
        <f t="shared" si="1"/>
        <v>14000000</v>
      </c>
    </row>
    <row r="76" spans="1:7">
      <c r="A76" s="446">
        <v>68</v>
      </c>
      <c r="B76" s="447">
        <v>23400100100</v>
      </c>
      <c r="C76" s="448" t="s">
        <v>637</v>
      </c>
      <c r="D76" s="449">
        <v>411053175.38999999</v>
      </c>
      <c r="E76" s="449">
        <v>24000000</v>
      </c>
      <c r="F76" s="447">
        <v>0</v>
      </c>
      <c r="G76" s="461">
        <f t="shared" si="1"/>
        <v>435053175.38999999</v>
      </c>
    </row>
    <row r="77" spans="1:7" ht="25.5" customHeight="1">
      <c r="A77" s="446">
        <v>69</v>
      </c>
      <c r="B77" s="447">
        <v>23405600100</v>
      </c>
      <c r="C77" s="448" t="s">
        <v>195</v>
      </c>
      <c r="D77" s="447">
        <v>0</v>
      </c>
      <c r="E77" s="449">
        <v>8000000</v>
      </c>
      <c r="F77" s="447">
        <v>0</v>
      </c>
      <c r="G77" s="461">
        <f t="shared" si="1"/>
        <v>8000000</v>
      </c>
    </row>
    <row r="78" spans="1:7">
      <c r="A78" s="446">
        <v>70</v>
      </c>
      <c r="B78" s="447">
        <v>23600100100</v>
      </c>
      <c r="C78" s="450" t="s">
        <v>77</v>
      </c>
      <c r="D78" s="451">
        <v>107962400.66</v>
      </c>
      <c r="E78" s="451">
        <v>27000000</v>
      </c>
      <c r="F78" s="451">
        <f>115000000-20000000</f>
        <v>95000000</v>
      </c>
      <c r="G78" s="461">
        <f t="shared" si="1"/>
        <v>229962400.66</v>
      </c>
    </row>
    <row r="79" spans="1:7" ht="14.25" customHeight="1">
      <c r="A79" s="446">
        <v>71</v>
      </c>
      <c r="B79" s="452">
        <v>23800100100</v>
      </c>
      <c r="C79" s="450" t="s">
        <v>78</v>
      </c>
      <c r="D79" s="451">
        <v>90067358.109999999</v>
      </c>
      <c r="E79" s="451">
        <v>110000000</v>
      </c>
      <c r="F79" s="453">
        <f>570300000+5000000-248416341.18</f>
        <v>326883658.81999999</v>
      </c>
      <c r="G79" s="462">
        <f t="shared" si="1"/>
        <v>526951016.93000001</v>
      </c>
    </row>
    <row r="80" spans="1:7" ht="14.25" customHeight="1">
      <c r="A80" s="446">
        <v>72</v>
      </c>
      <c r="B80" s="447">
        <v>23800100200</v>
      </c>
      <c r="C80" s="448" t="s">
        <v>128</v>
      </c>
      <c r="D80" s="447">
        <v>0</v>
      </c>
      <c r="E80" s="449">
        <v>20000000</v>
      </c>
      <c r="F80" s="447">
        <v>0</v>
      </c>
      <c r="G80" s="461">
        <f t="shared" si="1"/>
        <v>20000000</v>
      </c>
    </row>
    <row r="81" spans="1:10" ht="15" customHeight="1">
      <c r="A81" s="446">
        <v>73</v>
      </c>
      <c r="B81" s="447">
        <v>23800100300</v>
      </c>
      <c r="C81" s="448" t="s">
        <v>638</v>
      </c>
      <c r="D81" s="447">
        <v>0</v>
      </c>
      <c r="E81" s="449">
        <v>10000000</v>
      </c>
      <c r="F81" s="447">
        <v>0</v>
      </c>
      <c r="G81" s="461">
        <f t="shared" si="1"/>
        <v>10000000</v>
      </c>
    </row>
    <row r="82" spans="1:10" ht="23.25">
      <c r="A82" s="446">
        <v>74</v>
      </c>
      <c r="B82" s="447">
        <v>23800100500</v>
      </c>
      <c r="C82" s="448" t="s">
        <v>639</v>
      </c>
      <c r="D82" s="447">
        <v>0</v>
      </c>
      <c r="E82" s="449">
        <v>12000000</v>
      </c>
      <c r="F82" s="447">
        <v>0</v>
      </c>
      <c r="G82" s="461">
        <f t="shared" si="1"/>
        <v>12000000</v>
      </c>
      <c r="J82" s="4"/>
    </row>
    <row r="83" spans="1:10">
      <c r="A83" s="446">
        <v>75</v>
      </c>
      <c r="B83" s="447">
        <v>23800400100</v>
      </c>
      <c r="C83" s="450" t="s">
        <v>79</v>
      </c>
      <c r="D83" s="451">
        <v>40770803.640000001</v>
      </c>
      <c r="E83" s="451">
        <v>20000000</v>
      </c>
      <c r="F83" s="451">
        <f>78000000-28000000</f>
        <v>50000000</v>
      </c>
      <c r="G83" s="461">
        <f t="shared" si="1"/>
        <v>110770803.64</v>
      </c>
    </row>
    <row r="84" spans="1:10">
      <c r="A84" s="446">
        <v>76</v>
      </c>
      <c r="B84" s="447">
        <v>25210200100</v>
      </c>
      <c r="C84" s="448" t="s">
        <v>80</v>
      </c>
      <c r="D84" s="449">
        <v>633413118.48000002</v>
      </c>
      <c r="E84" s="449">
        <v>9450000</v>
      </c>
      <c r="F84" s="447">
        <v>0</v>
      </c>
      <c r="G84" s="461">
        <f t="shared" si="1"/>
        <v>642863118.48000002</v>
      </c>
    </row>
    <row r="85" spans="1:10" ht="23.25">
      <c r="A85" s="446">
        <v>77</v>
      </c>
      <c r="B85" s="447">
        <v>25210300100</v>
      </c>
      <c r="C85" s="448" t="s">
        <v>640</v>
      </c>
      <c r="D85" s="449">
        <v>20466070.41</v>
      </c>
      <c r="E85" s="449">
        <v>5400000</v>
      </c>
      <c r="F85" s="449">
        <v>7000000</v>
      </c>
      <c r="G85" s="461">
        <f t="shared" si="1"/>
        <v>32866070.41</v>
      </c>
    </row>
    <row r="86" spans="1:10" ht="16.5" customHeight="1">
      <c r="A86" s="446">
        <v>78</v>
      </c>
      <c r="B86" s="447">
        <v>25305300100</v>
      </c>
      <c r="C86" s="448" t="s">
        <v>81</v>
      </c>
      <c r="D86" s="449">
        <v>122983731.89</v>
      </c>
      <c r="E86" s="449">
        <v>7800000</v>
      </c>
      <c r="F86" s="447">
        <v>0</v>
      </c>
      <c r="G86" s="461">
        <f t="shared" si="1"/>
        <v>130783731.89</v>
      </c>
    </row>
    <row r="87" spans="1:10">
      <c r="A87" s="446">
        <v>79</v>
      </c>
      <c r="B87" s="447">
        <v>25305700100</v>
      </c>
      <c r="C87" s="448" t="s">
        <v>82</v>
      </c>
      <c r="D87" s="447">
        <v>0</v>
      </c>
      <c r="E87" s="449">
        <v>9000000</v>
      </c>
      <c r="F87" s="447">
        <v>0</v>
      </c>
      <c r="G87" s="461">
        <f t="shared" si="1"/>
        <v>9000000</v>
      </c>
    </row>
    <row r="88" spans="1:10">
      <c r="A88" s="446">
        <v>80</v>
      </c>
      <c r="B88" s="447">
        <v>26000100100</v>
      </c>
      <c r="C88" s="448" t="s">
        <v>83</v>
      </c>
      <c r="D88" s="449">
        <v>89731305.819999993</v>
      </c>
      <c r="E88" s="449">
        <v>18000000</v>
      </c>
      <c r="F88" s="447">
        <v>0</v>
      </c>
      <c r="G88" s="461">
        <f t="shared" si="1"/>
        <v>107731305.81999999</v>
      </c>
    </row>
    <row r="89" spans="1:10">
      <c r="A89" s="446">
        <v>81</v>
      </c>
      <c r="B89" s="447">
        <v>26100100100</v>
      </c>
      <c r="C89" s="450" t="s">
        <v>317</v>
      </c>
      <c r="D89" s="452">
        <v>0</v>
      </c>
      <c r="E89" s="451">
        <v>20000000</v>
      </c>
      <c r="F89" s="451">
        <f>70000000-40000000</f>
        <v>30000000</v>
      </c>
      <c r="G89" s="461">
        <f t="shared" si="1"/>
        <v>50000000</v>
      </c>
    </row>
    <row r="90" spans="1:10">
      <c r="A90" s="468"/>
      <c r="B90" s="469"/>
      <c r="C90" s="474"/>
      <c r="D90" s="476" t="s">
        <v>650</v>
      </c>
      <c r="E90" s="475"/>
      <c r="F90" s="475"/>
      <c r="G90" s="472"/>
    </row>
    <row r="91" spans="1:10" ht="23.25">
      <c r="A91" s="456">
        <v>82</v>
      </c>
      <c r="B91" s="457">
        <v>26300100100</v>
      </c>
      <c r="C91" s="458" t="s">
        <v>197</v>
      </c>
      <c r="D91" s="459">
        <f>194071777.29-45502718.19</f>
        <v>148569059.09999999</v>
      </c>
      <c r="E91" s="459">
        <v>24000000</v>
      </c>
      <c r="F91" s="459">
        <v>14000000</v>
      </c>
      <c r="G91" s="460">
        <f t="shared" si="1"/>
        <v>186569059.09999999</v>
      </c>
    </row>
    <row r="92" spans="1:10">
      <c r="A92" s="446">
        <v>83</v>
      </c>
      <c r="B92" s="447">
        <v>31800100100</v>
      </c>
      <c r="C92" s="448" t="s">
        <v>26</v>
      </c>
      <c r="D92" s="449">
        <f>'Personnel Details'!G8</f>
        <v>1192174534.1800001</v>
      </c>
      <c r="E92" s="449">
        <v>60000000</v>
      </c>
      <c r="F92" s="449">
        <f>'Details SP'!H393</f>
        <v>155000000</v>
      </c>
      <c r="G92" s="461">
        <f t="shared" si="1"/>
        <v>1407174534.1800001</v>
      </c>
    </row>
    <row r="93" spans="1:10">
      <c r="A93" s="446">
        <v>84</v>
      </c>
      <c r="B93" s="447">
        <v>31801100100</v>
      </c>
      <c r="C93" s="448" t="s">
        <v>84</v>
      </c>
      <c r="D93" s="449">
        <v>51159752.640000001</v>
      </c>
      <c r="E93" s="449">
        <v>35000000</v>
      </c>
      <c r="F93" s="449">
        <v>11000000</v>
      </c>
      <c r="G93" s="461">
        <f t="shared" si="1"/>
        <v>97159752.640000001</v>
      </c>
    </row>
    <row r="94" spans="1:10">
      <c r="A94" s="446">
        <v>85</v>
      </c>
      <c r="B94" s="447">
        <v>31801200100</v>
      </c>
      <c r="C94" s="448" t="s">
        <v>129</v>
      </c>
      <c r="D94" s="447">
        <v>0</v>
      </c>
      <c r="E94" s="449">
        <v>30000000</v>
      </c>
      <c r="F94" s="447">
        <v>0</v>
      </c>
      <c r="G94" s="461">
        <f t="shared" si="1"/>
        <v>30000000</v>
      </c>
      <c r="J94" s="4"/>
    </row>
    <row r="95" spans="1:10">
      <c r="A95" s="446">
        <v>86</v>
      </c>
      <c r="B95" s="447">
        <v>31801300100</v>
      </c>
      <c r="C95" s="448" t="s">
        <v>130</v>
      </c>
      <c r="D95" s="447">
        <v>0</v>
      </c>
      <c r="E95" s="449">
        <v>20000000</v>
      </c>
      <c r="F95" s="447">
        <v>0</v>
      </c>
      <c r="G95" s="461">
        <f t="shared" si="1"/>
        <v>20000000</v>
      </c>
    </row>
    <row r="96" spans="1:10">
      <c r="A96" s="446">
        <v>87</v>
      </c>
      <c r="B96" s="447">
        <v>32600100100</v>
      </c>
      <c r="C96" s="448" t="s">
        <v>85</v>
      </c>
      <c r="D96" s="449">
        <v>224572931.09</v>
      </c>
      <c r="E96" s="449">
        <v>25000000</v>
      </c>
      <c r="F96" s="449">
        <v>52400000</v>
      </c>
      <c r="G96" s="461">
        <f t="shared" si="1"/>
        <v>301972931.09000003</v>
      </c>
    </row>
    <row r="97" spans="1:7">
      <c r="A97" s="446">
        <v>88</v>
      </c>
      <c r="B97" s="447">
        <v>32600200100</v>
      </c>
      <c r="C97" s="448" t="s">
        <v>86</v>
      </c>
      <c r="D97" s="449">
        <v>14415973.68</v>
      </c>
      <c r="E97" s="449">
        <v>9000000</v>
      </c>
      <c r="F97" s="447">
        <v>0</v>
      </c>
      <c r="G97" s="461">
        <f t="shared" si="1"/>
        <v>23415973.68</v>
      </c>
    </row>
    <row r="98" spans="1:7" ht="23.25">
      <c r="A98" s="446">
        <v>89</v>
      </c>
      <c r="B98" s="447">
        <v>32600300100</v>
      </c>
      <c r="C98" s="448" t="s">
        <v>131</v>
      </c>
      <c r="D98" s="447">
        <v>0</v>
      </c>
      <c r="E98" s="449">
        <v>6264000</v>
      </c>
      <c r="F98" s="447">
        <v>0</v>
      </c>
      <c r="G98" s="461">
        <f t="shared" si="1"/>
        <v>6264000</v>
      </c>
    </row>
    <row r="99" spans="1:7">
      <c r="A99" s="446">
        <v>90</v>
      </c>
      <c r="B99" s="447">
        <v>32605200100</v>
      </c>
      <c r="C99" s="448" t="s">
        <v>87</v>
      </c>
      <c r="D99" s="454">
        <f>'summary Allo Pool fund recurent'!D8</f>
        <v>517788064.99000001</v>
      </c>
      <c r="E99" s="449">
        <v>34000000</v>
      </c>
      <c r="F99" s="449">
        <v>29000000</v>
      </c>
      <c r="G99" s="461">
        <f t="shared" si="1"/>
        <v>580788064.99000001</v>
      </c>
    </row>
    <row r="100" spans="1:7" ht="23.25">
      <c r="A100" s="446">
        <v>91</v>
      </c>
      <c r="B100" s="447">
        <v>32605200200</v>
      </c>
      <c r="C100" s="448" t="s">
        <v>132</v>
      </c>
      <c r="D100" s="447">
        <v>0</v>
      </c>
      <c r="E100" s="449">
        <v>20000000</v>
      </c>
      <c r="F100" s="447">
        <v>0</v>
      </c>
      <c r="G100" s="461">
        <f t="shared" si="1"/>
        <v>20000000</v>
      </c>
    </row>
    <row r="101" spans="1:7">
      <c r="A101" s="446">
        <v>92</v>
      </c>
      <c r="B101" s="447">
        <v>32605200300</v>
      </c>
      <c r="C101" s="448" t="s">
        <v>133</v>
      </c>
      <c r="D101" s="447">
        <v>0</v>
      </c>
      <c r="E101" s="449">
        <v>14000000</v>
      </c>
      <c r="F101" s="447">
        <v>0</v>
      </c>
      <c r="G101" s="461">
        <f t="shared" si="1"/>
        <v>14000000</v>
      </c>
    </row>
    <row r="102" spans="1:7">
      <c r="A102" s="446">
        <v>93</v>
      </c>
      <c r="B102" s="447">
        <v>51300100100</v>
      </c>
      <c r="C102" s="448" t="s">
        <v>518</v>
      </c>
      <c r="D102" s="449">
        <v>40260031.380000003</v>
      </c>
      <c r="E102" s="449">
        <v>16000000</v>
      </c>
      <c r="F102" s="449">
        <f>'Details SP'!H428</f>
        <v>60000000</v>
      </c>
      <c r="G102" s="461">
        <f t="shared" si="1"/>
        <v>116260031.38</v>
      </c>
    </row>
    <row r="103" spans="1:7">
      <c r="A103" s="446">
        <v>94</v>
      </c>
      <c r="B103" s="447">
        <v>51300100200</v>
      </c>
      <c r="C103" s="448" t="s">
        <v>88</v>
      </c>
      <c r="D103" s="447">
        <v>0</v>
      </c>
      <c r="E103" s="447">
        <v>0</v>
      </c>
      <c r="F103" s="449">
        <v>80000000</v>
      </c>
      <c r="G103" s="461">
        <f t="shared" si="1"/>
        <v>80000000</v>
      </c>
    </row>
    <row r="104" spans="1:7">
      <c r="A104" s="446">
        <v>95</v>
      </c>
      <c r="B104" s="447">
        <v>51400100100</v>
      </c>
      <c r="C104" s="448" t="s">
        <v>89</v>
      </c>
      <c r="D104" s="449">
        <v>103523132.58</v>
      </c>
      <c r="E104" s="449">
        <v>30000000</v>
      </c>
      <c r="F104" s="449">
        <f>'Details SP'!H467</f>
        <v>407000000</v>
      </c>
      <c r="G104" s="461">
        <f t="shared" si="1"/>
        <v>540523132.58000004</v>
      </c>
    </row>
    <row r="105" spans="1:7" ht="23.25">
      <c r="A105" s="446">
        <v>96</v>
      </c>
      <c r="B105" s="447">
        <v>51400100200</v>
      </c>
      <c r="C105" s="448" t="s">
        <v>90</v>
      </c>
      <c r="D105" s="447">
        <v>0</v>
      </c>
      <c r="E105" s="449">
        <v>5400000</v>
      </c>
      <c r="F105" s="449">
        <v>20000000</v>
      </c>
      <c r="G105" s="461">
        <f t="shared" si="1"/>
        <v>25400000</v>
      </c>
    </row>
    <row r="106" spans="1:7">
      <c r="A106" s="446">
        <v>97</v>
      </c>
      <c r="B106" s="447">
        <v>51700100100</v>
      </c>
      <c r="C106" s="448" t="s">
        <v>641</v>
      </c>
      <c r="D106" s="449">
        <v>1491420890.01</v>
      </c>
      <c r="E106" s="449">
        <v>30000000</v>
      </c>
      <c r="F106" s="449">
        <f>'Details SP'!H540</f>
        <v>446500000</v>
      </c>
      <c r="G106" s="461">
        <f t="shared" si="1"/>
        <v>1967920890.01</v>
      </c>
    </row>
    <row r="107" spans="1:7">
      <c r="A107" s="446">
        <v>98</v>
      </c>
      <c r="B107" s="447">
        <v>51700100200</v>
      </c>
      <c r="C107" s="448" t="s">
        <v>134</v>
      </c>
      <c r="D107" s="447">
        <v>0</v>
      </c>
      <c r="E107" s="449">
        <v>3750000</v>
      </c>
      <c r="F107" s="447">
        <v>0</v>
      </c>
      <c r="G107" s="461">
        <f t="shared" si="1"/>
        <v>3750000</v>
      </c>
    </row>
    <row r="108" spans="1:7">
      <c r="A108" s="446">
        <v>99</v>
      </c>
      <c r="B108" s="447">
        <v>51700100300</v>
      </c>
      <c r="C108" s="448" t="s">
        <v>135</v>
      </c>
      <c r="D108" s="447">
        <v>0</v>
      </c>
      <c r="E108" s="449">
        <v>1620000</v>
      </c>
      <c r="F108" s="447">
        <v>0</v>
      </c>
      <c r="G108" s="461">
        <f t="shared" si="1"/>
        <v>1620000</v>
      </c>
    </row>
    <row r="109" spans="1:7" ht="25.5" customHeight="1">
      <c r="A109" s="446">
        <v>100</v>
      </c>
      <c r="B109" s="447">
        <v>51700300100</v>
      </c>
      <c r="C109" s="448" t="s">
        <v>91</v>
      </c>
      <c r="D109" s="449">
        <v>495718166.70999998</v>
      </c>
      <c r="E109" s="449">
        <v>32000000</v>
      </c>
      <c r="F109" s="449">
        <f>'Details SP'!H575</f>
        <v>298000000</v>
      </c>
      <c r="G109" s="461">
        <f t="shared" si="1"/>
        <v>825718166.71000004</v>
      </c>
    </row>
    <row r="110" spans="1:7" ht="26.25" customHeight="1">
      <c r="A110" s="446">
        <v>101</v>
      </c>
      <c r="B110" s="447">
        <v>51700300200</v>
      </c>
      <c r="C110" s="448" t="s">
        <v>136</v>
      </c>
      <c r="D110" s="447">
        <v>0</v>
      </c>
      <c r="E110" s="449">
        <v>24191200</v>
      </c>
      <c r="F110" s="447">
        <v>0</v>
      </c>
      <c r="G110" s="461">
        <f t="shared" si="1"/>
        <v>24191200</v>
      </c>
    </row>
    <row r="111" spans="1:7" ht="18" customHeight="1">
      <c r="A111" s="446">
        <v>102</v>
      </c>
      <c r="B111" s="447">
        <v>51700300300</v>
      </c>
      <c r="C111" s="448" t="s">
        <v>137</v>
      </c>
      <c r="D111" s="447">
        <v>0</v>
      </c>
      <c r="E111" s="449">
        <v>24480000</v>
      </c>
      <c r="F111" s="447">
        <v>0</v>
      </c>
      <c r="G111" s="461">
        <f t="shared" si="1"/>
        <v>24480000</v>
      </c>
    </row>
    <row r="112" spans="1:7">
      <c r="A112" s="446">
        <v>103</v>
      </c>
      <c r="B112" s="447">
        <v>51700800100</v>
      </c>
      <c r="C112" s="448" t="s">
        <v>92</v>
      </c>
      <c r="D112" s="449">
        <v>29089101.989999998</v>
      </c>
      <c r="E112" s="449">
        <v>12600000</v>
      </c>
      <c r="F112" s="449">
        <v>3500000</v>
      </c>
      <c r="G112" s="461">
        <f t="shared" si="1"/>
        <v>45189101.989999995</v>
      </c>
    </row>
    <row r="113" spans="1:7">
      <c r="A113" s="446">
        <v>104</v>
      </c>
      <c r="B113" s="447">
        <v>51705400100</v>
      </c>
      <c r="C113" s="448" t="s">
        <v>97</v>
      </c>
      <c r="D113" s="449">
        <v>14844761647.57</v>
      </c>
      <c r="E113" s="449">
        <v>20250000</v>
      </c>
      <c r="F113" s="449">
        <v>35000000</v>
      </c>
      <c r="G113" s="461">
        <f t="shared" si="1"/>
        <v>14900011647.57</v>
      </c>
    </row>
    <row r="114" spans="1:7" ht="16.5" customHeight="1">
      <c r="A114" s="446">
        <v>105</v>
      </c>
      <c r="B114" s="447">
        <v>51705400200</v>
      </c>
      <c r="C114" s="448" t="s">
        <v>138</v>
      </c>
      <c r="D114" s="447">
        <v>0</v>
      </c>
      <c r="E114" s="449">
        <v>3750000</v>
      </c>
      <c r="F114" s="447">
        <v>0</v>
      </c>
      <c r="G114" s="461">
        <f t="shared" si="1"/>
        <v>3750000</v>
      </c>
    </row>
    <row r="115" spans="1:7" ht="17.25" customHeight="1">
      <c r="A115" s="446">
        <v>106</v>
      </c>
      <c r="B115" s="447">
        <v>51705400300</v>
      </c>
      <c r="C115" s="448" t="s">
        <v>139</v>
      </c>
      <c r="D115" s="447">
        <v>0</v>
      </c>
      <c r="E115" s="449">
        <v>3750000</v>
      </c>
      <c r="F115" s="447">
        <v>0</v>
      </c>
      <c r="G115" s="461">
        <f t="shared" si="1"/>
        <v>3750000</v>
      </c>
    </row>
    <row r="116" spans="1:7">
      <c r="A116" s="446">
        <v>107</v>
      </c>
      <c r="B116" s="447">
        <v>51705400400</v>
      </c>
      <c r="C116" s="448" t="s">
        <v>140</v>
      </c>
      <c r="D116" s="447">
        <v>0</v>
      </c>
      <c r="E116" s="449">
        <v>3750000</v>
      </c>
      <c r="F116" s="447">
        <v>0</v>
      </c>
      <c r="G116" s="461">
        <f t="shared" si="1"/>
        <v>3750000</v>
      </c>
    </row>
    <row r="117" spans="1:7">
      <c r="A117" s="468"/>
      <c r="B117" s="469"/>
      <c r="C117" s="470"/>
      <c r="D117" s="473" t="s">
        <v>651</v>
      </c>
      <c r="E117" s="471"/>
      <c r="F117" s="469"/>
      <c r="G117" s="472"/>
    </row>
    <row r="118" spans="1:7" ht="14.1" customHeight="1">
      <c r="A118" s="456">
        <v>108</v>
      </c>
      <c r="B118" s="457">
        <v>51705400500</v>
      </c>
      <c r="C118" s="458" t="s">
        <v>141</v>
      </c>
      <c r="D118" s="457">
        <v>0</v>
      </c>
      <c r="E118" s="459">
        <v>3750000</v>
      </c>
      <c r="F118" s="457">
        <v>0</v>
      </c>
      <c r="G118" s="460">
        <f t="shared" si="1"/>
        <v>3750000</v>
      </c>
    </row>
    <row r="119" spans="1:7" ht="14.1" customHeight="1">
      <c r="A119" s="446">
        <v>109</v>
      </c>
      <c r="B119" s="447">
        <v>51705400600</v>
      </c>
      <c r="C119" s="448" t="s">
        <v>142</v>
      </c>
      <c r="D119" s="447">
        <v>0</v>
      </c>
      <c r="E119" s="449">
        <v>3750000</v>
      </c>
      <c r="F119" s="447">
        <v>0</v>
      </c>
      <c r="G119" s="461">
        <f t="shared" si="1"/>
        <v>3750000</v>
      </c>
    </row>
    <row r="120" spans="1:7" ht="14.1" customHeight="1">
      <c r="A120" s="446">
        <v>110</v>
      </c>
      <c r="B120" s="447">
        <v>51705400700</v>
      </c>
      <c r="C120" s="448" t="s">
        <v>143</v>
      </c>
      <c r="D120" s="447">
        <v>0</v>
      </c>
      <c r="E120" s="449">
        <v>3750000</v>
      </c>
      <c r="F120" s="447">
        <v>0</v>
      </c>
      <c r="G120" s="461">
        <f t="shared" si="1"/>
        <v>3750000</v>
      </c>
    </row>
    <row r="121" spans="1:7" ht="14.1" customHeight="1">
      <c r="A121" s="446">
        <v>111</v>
      </c>
      <c r="B121" s="447">
        <v>51705400800</v>
      </c>
      <c r="C121" s="448" t="s">
        <v>144</v>
      </c>
      <c r="D121" s="447">
        <v>0</v>
      </c>
      <c r="E121" s="449">
        <v>3750000</v>
      </c>
      <c r="F121" s="447">
        <v>0</v>
      </c>
      <c r="G121" s="461">
        <f t="shared" si="1"/>
        <v>3750000</v>
      </c>
    </row>
    <row r="122" spans="1:7" ht="14.1" customHeight="1">
      <c r="A122" s="446">
        <v>112</v>
      </c>
      <c r="B122" s="447">
        <v>51705400900</v>
      </c>
      <c r="C122" s="448" t="s">
        <v>145</v>
      </c>
      <c r="D122" s="447">
        <v>0</v>
      </c>
      <c r="E122" s="449">
        <v>3750000</v>
      </c>
      <c r="F122" s="447">
        <v>0</v>
      </c>
      <c r="G122" s="461">
        <f t="shared" si="1"/>
        <v>3750000</v>
      </c>
    </row>
    <row r="123" spans="1:7" ht="14.1" customHeight="1">
      <c r="A123" s="446">
        <v>113</v>
      </c>
      <c r="B123" s="447">
        <v>51705401000</v>
      </c>
      <c r="C123" s="448" t="s">
        <v>146</v>
      </c>
      <c r="D123" s="447">
        <v>0</v>
      </c>
      <c r="E123" s="449">
        <v>3750000</v>
      </c>
      <c r="F123" s="447">
        <v>0</v>
      </c>
      <c r="G123" s="461">
        <f t="shared" si="1"/>
        <v>3750000</v>
      </c>
    </row>
    <row r="124" spans="1:7" ht="14.1" customHeight="1">
      <c r="A124" s="446">
        <v>114</v>
      </c>
      <c r="B124" s="447">
        <v>51705600100</v>
      </c>
      <c r="C124" s="448" t="s">
        <v>98</v>
      </c>
      <c r="D124" s="449">
        <v>29577713.73</v>
      </c>
      <c r="E124" s="449">
        <v>13500000</v>
      </c>
      <c r="F124" s="449">
        <v>20000000</v>
      </c>
      <c r="G124" s="461">
        <f t="shared" si="1"/>
        <v>63077713.730000004</v>
      </c>
    </row>
    <row r="125" spans="1:7" ht="24.75" customHeight="1">
      <c r="A125" s="446">
        <v>115</v>
      </c>
      <c r="B125" s="447">
        <v>51800100100</v>
      </c>
      <c r="C125" s="448" t="s">
        <v>642</v>
      </c>
      <c r="D125" s="449">
        <v>453254366.81999999</v>
      </c>
      <c r="E125" s="449">
        <v>10000000</v>
      </c>
      <c r="F125" s="449">
        <v>149000000</v>
      </c>
      <c r="G125" s="461">
        <f t="shared" si="1"/>
        <v>612254366.81999993</v>
      </c>
    </row>
    <row r="126" spans="1:7" ht="14.1" customHeight="1">
      <c r="A126" s="446">
        <v>116</v>
      </c>
      <c r="B126" s="447">
        <v>52100100100</v>
      </c>
      <c r="C126" s="448" t="s">
        <v>99</v>
      </c>
      <c r="D126" s="449">
        <v>485235687</v>
      </c>
      <c r="E126" s="449">
        <v>12000000</v>
      </c>
      <c r="F126" s="449">
        <v>231000000</v>
      </c>
      <c r="G126" s="461">
        <f t="shared" si="1"/>
        <v>728235687</v>
      </c>
    </row>
    <row r="127" spans="1:7" ht="14.1" customHeight="1">
      <c r="A127" s="446">
        <v>117</v>
      </c>
      <c r="B127" s="447">
        <v>52100300100</v>
      </c>
      <c r="C127" s="448" t="s">
        <v>643</v>
      </c>
      <c r="D127" s="449">
        <v>289792456.01999998</v>
      </c>
      <c r="E127" s="449">
        <v>8280000</v>
      </c>
      <c r="F127" s="447">
        <v>0</v>
      </c>
      <c r="G127" s="461">
        <f t="shared" si="1"/>
        <v>298072456.01999998</v>
      </c>
    </row>
    <row r="128" spans="1:7" ht="14.1" customHeight="1">
      <c r="A128" s="446">
        <v>118</v>
      </c>
      <c r="B128" s="447">
        <v>52110200100</v>
      </c>
      <c r="C128" s="448" t="s">
        <v>100</v>
      </c>
      <c r="D128" s="449">
        <v>7091744768.6300001</v>
      </c>
      <c r="E128" s="449">
        <v>18000000</v>
      </c>
      <c r="F128" s="449">
        <f>'Details SP'!H590</f>
        <v>33000000</v>
      </c>
      <c r="G128" s="461">
        <f t="shared" si="1"/>
        <v>7142744768.6300001</v>
      </c>
    </row>
    <row r="129" spans="1:10" ht="14.1" customHeight="1">
      <c r="A129" s="446">
        <v>119</v>
      </c>
      <c r="B129" s="447">
        <v>52110300100</v>
      </c>
      <c r="C129" s="448" t="s">
        <v>147</v>
      </c>
      <c r="D129" s="447">
        <v>0</v>
      </c>
      <c r="E129" s="449">
        <v>2328300</v>
      </c>
      <c r="F129" s="447">
        <v>0</v>
      </c>
      <c r="G129" s="461">
        <f t="shared" si="1"/>
        <v>2328300</v>
      </c>
    </row>
    <row r="130" spans="1:10" ht="14.1" customHeight="1">
      <c r="A130" s="446">
        <v>120</v>
      </c>
      <c r="B130" s="447">
        <v>52110400100</v>
      </c>
      <c r="C130" s="448" t="s">
        <v>101</v>
      </c>
      <c r="D130" s="447">
        <v>0</v>
      </c>
      <c r="E130" s="449">
        <v>2700000</v>
      </c>
      <c r="F130" s="447">
        <v>0</v>
      </c>
      <c r="G130" s="461">
        <f t="shared" si="1"/>
        <v>2700000</v>
      </c>
    </row>
    <row r="131" spans="1:10" ht="14.1" customHeight="1">
      <c r="A131" s="446">
        <v>121</v>
      </c>
      <c r="B131" s="447">
        <v>52110400200</v>
      </c>
      <c r="C131" s="448" t="s">
        <v>102</v>
      </c>
      <c r="D131" s="447">
        <v>0</v>
      </c>
      <c r="E131" s="449">
        <v>2700000</v>
      </c>
      <c r="F131" s="447">
        <v>0</v>
      </c>
      <c r="G131" s="461">
        <f t="shared" si="1"/>
        <v>2700000</v>
      </c>
    </row>
    <row r="132" spans="1:10" ht="14.1" customHeight="1">
      <c r="A132" s="446">
        <v>122</v>
      </c>
      <c r="B132" s="447">
        <v>52110600100</v>
      </c>
      <c r="C132" s="448" t="s">
        <v>103</v>
      </c>
      <c r="D132" s="447">
        <v>0</v>
      </c>
      <c r="E132" s="449">
        <v>2700000</v>
      </c>
      <c r="F132" s="447">
        <v>0</v>
      </c>
      <c r="G132" s="461">
        <f t="shared" si="1"/>
        <v>2700000</v>
      </c>
    </row>
    <row r="133" spans="1:10" ht="14.1" customHeight="1">
      <c r="A133" s="446">
        <v>123</v>
      </c>
      <c r="B133" s="447">
        <v>52111500100</v>
      </c>
      <c r="C133" s="448" t="s">
        <v>104</v>
      </c>
      <c r="D133" s="447">
        <v>0</v>
      </c>
      <c r="E133" s="449">
        <v>22000000</v>
      </c>
      <c r="F133" s="449">
        <v>50000000</v>
      </c>
      <c r="G133" s="461">
        <f t="shared" si="1"/>
        <v>72000000</v>
      </c>
    </row>
    <row r="134" spans="1:10" ht="14.1" customHeight="1">
      <c r="A134" s="446">
        <v>124</v>
      </c>
      <c r="B134" s="447">
        <v>52111600100</v>
      </c>
      <c r="C134" s="448" t="s">
        <v>105</v>
      </c>
      <c r="D134" s="447">
        <v>0</v>
      </c>
      <c r="E134" s="449">
        <v>6763000</v>
      </c>
      <c r="F134" s="447">
        <v>0</v>
      </c>
      <c r="G134" s="461">
        <f t="shared" si="1"/>
        <v>6763000</v>
      </c>
    </row>
    <row r="135" spans="1:10" ht="14.1" customHeight="1">
      <c r="A135" s="446">
        <v>125</v>
      </c>
      <c r="B135" s="447">
        <v>53500100100</v>
      </c>
      <c r="C135" s="450" t="s">
        <v>323</v>
      </c>
      <c r="D135" s="451">
        <v>92417777.890000001</v>
      </c>
      <c r="E135" s="451">
        <v>24000000</v>
      </c>
      <c r="F135" s="451">
        <f>100000000-25000000</f>
        <v>75000000</v>
      </c>
      <c r="G135" s="461">
        <f t="shared" si="1"/>
        <v>191417777.88999999</v>
      </c>
    </row>
    <row r="136" spans="1:10" ht="14.1" customHeight="1">
      <c r="A136" s="446">
        <v>126</v>
      </c>
      <c r="B136" s="447">
        <v>53505300100</v>
      </c>
      <c r="C136" s="448" t="s">
        <v>106</v>
      </c>
      <c r="D136" s="449">
        <v>191559793.96000001</v>
      </c>
      <c r="E136" s="449">
        <v>19800000</v>
      </c>
      <c r="F136" s="449">
        <v>82000000</v>
      </c>
      <c r="G136" s="461">
        <f t="shared" si="1"/>
        <v>293359793.96000004</v>
      </c>
    </row>
    <row r="137" spans="1:10" ht="14.1" customHeight="1">
      <c r="A137" s="446">
        <v>127</v>
      </c>
      <c r="B137" s="447">
        <v>53905100100</v>
      </c>
      <c r="C137" s="450" t="s">
        <v>107</v>
      </c>
      <c r="D137" s="451">
        <v>212745013.81999999</v>
      </c>
      <c r="E137" s="451">
        <v>25200000</v>
      </c>
      <c r="F137" s="451">
        <f>'Details SP'!H666</f>
        <v>139000000</v>
      </c>
      <c r="G137" s="461">
        <f t="shared" si="1"/>
        <v>376945013.81999999</v>
      </c>
    </row>
    <row r="138" spans="1:10" ht="24.75" customHeight="1">
      <c r="A138" s="446">
        <v>128</v>
      </c>
      <c r="B138" s="447">
        <v>55100100100</v>
      </c>
      <c r="C138" s="448" t="s">
        <v>148</v>
      </c>
      <c r="D138" s="449">
        <v>56871957.049999997</v>
      </c>
      <c r="E138" s="449">
        <v>36000000</v>
      </c>
      <c r="F138" s="449">
        <v>89800000</v>
      </c>
      <c r="G138" s="461">
        <f t="shared" si="1"/>
        <v>182671957.05000001</v>
      </c>
    </row>
    <row r="139" spans="1:10" ht="15" customHeight="1">
      <c r="A139" s="446">
        <v>129</v>
      </c>
      <c r="B139" s="447">
        <v>55100100200</v>
      </c>
      <c r="C139" s="448" t="s">
        <v>108</v>
      </c>
      <c r="D139" s="447">
        <v>0</v>
      </c>
      <c r="E139" s="449">
        <v>4050000</v>
      </c>
      <c r="F139" s="447">
        <v>0</v>
      </c>
      <c r="G139" s="461">
        <f t="shared" ref="G139:G146" si="2">D139+E139+F139</f>
        <v>4050000</v>
      </c>
    </row>
    <row r="140" spans="1:10" ht="15" customHeight="1">
      <c r="A140" s="446">
        <v>130</v>
      </c>
      <c r="B140" s="447">
        <v>55200100200</v>
      </c>
      <c r="C140" s="448" t="s">
        <v>644</v>
      </c>
      <c r="D140" s="546">
        <v>88536083.760000005</v>
      </c>
      <c r="E140" s="449">
        <v>26000000</v>
      </c>
      <c r="F140" s="449">
        <v>8000000</v>
      </c>
      <c r="G140" s="461">
        <f t="shared" si="2"/>
        <v>122536083.76000001</v>
      </c>
    </row>
    <row r="141" spans="1:10" ht="26.25" customHeight="1">
      <c r="A141" s="446">
        <v>131</v>
      </c>
      <c r="B141" s="447">
        <v>55200200100</v>
      </c>
      <c r="C141" s="450" t="s">
        <v>109</v>
      </c>
      <c r="D141" s="452">
        <v>0</v>
      </c>
      <c r="E141" s="451">
        <v>7200000</v>
      </c>
      <c r="F141" s="451">
        <f>'Details SP'!H679</f>
        <v>9400000</v>
      </c>
      <c r="G141" s="461">
        <f t="shared" si="2"/>
        <v>16600000</v>
      </c>
    </row>
    <row r="142" spans="1:10" ht="14.1" customHeight="1">
      <c r="A142" s="446">
        <v>132</v>
      </c>
      <c r="B142" s="455"/>
      <c r="C142" s="448" t="s">
        <v>645</v>
      </c>
      <c r="D142" s="455"/>
      <c r="E142" s="455"/>
      <c r="F142" s="455"/>
      <c r="G142" s="463">
        <f>'Details SP'!H756</f>
        <v>8990439686.0699997</v>
      </c>
    </row>
    <row r="143" spans="1:10" ht="14.1" customHeight="1">
      <c r="A143" s="446">
        <v>133</v>
      </c>
      <c r="B143" s="455"/>
      <c r="C143" s="448" t="s">
        <v>646</v>
      </c>
      <c r="D143" s="455"/>
      <c r="E143" s="455"/>
      <c r="F143" s="455"/>
      <c r="G143" s="463">
        <v>150000000</v>
      </c>
    </row>
    <row r="144" spans="1:10" ht="14.1" customHeight="1">
      <c r="A144" s="446">
        <v>134</v>
      </c>
      <c r="B144" s="455"/>
      <c r="C144" s="448" t="s">
        <v>149</v>
      </c>
      <c r="D144" s="455"/>
      <c r="E144" s="455"/>
      <c r="F144" s="455"/>
      <c r="G144" s="463">
        <f>'Details SP'!H715</f>
        <v>18265669000</v>
      </c>
      <c r="J144" s="4"/>
    </row>
    <row r="145" spans="1:10" ht="14.1" customHeight="1">
      <c r="A145" s="446">
        <v>135</v>
      </c>
      <c r="B145" s="455"/>
      <c r="C145" s="448" t="s">
        <v>150</v>
      </c>
      <c r="D145" s="449">
        <f>'Pooled fund personnel'!I10</f>
        <v>36843638.669999957</v>
      </c>
      <c r="E145" s="455"/>
      <c r="F145" s="455"/>
      <c r="G145" s="461">
        <f t="shared" si="2"/>
        <v>36843638.669999957</v>
      </c>
    </row>
    <row r="146" spans="1:10" ht="14.1" customHeight="1" thickBot="1">
      <c r="A146" s="464">
        <v>136</v>
      </c>
      <c r="B146" s="383"/>
      <c r="C146" s="465" t="s">
        <v>201</v>
      </c>
      <c r="D146" s="466">
        <f>3329733462.72+'Personnel Details'!F11</f>
        <v>5724234835.2199993</v>
      </c>
      <c r="E146" s="383"/>
      <c r="F146" s="383"/>
      <c r="G146" s="467">
        <f t="shared" si="2"/>
        <v>5724234835.2199993</v>
      </c>
    </row>
    <row r="147" spans="1:10" ht="15" customHeight="1" thickBot="1">
      <c r="A147" s="415"/>
      <c r="B147" s="416"/>
      <c r="C147" s="417" t="s">
        <v>41</v>
      </c>
      <c r="D147" s="418">
        <f t="shared" ref="D147:F147" si="3">SUM(D7:D146)</f>
        <v>40023683079.249992</v>
      </c>
      <c r="E147" s="418">
        <f t="shared" si="3"/>
        <v>4503019500</v>
      </c>
      <c r="F147" s="418">
        <f t="shared" si="3"/>
        <v>16721337958.82</v>
      </c>
      <c r="G147" s="418">
        <f>SUM(G7:G146)</f>
        <v>88654149224.139999</v>
      </c>
      <c r="J147" s="420"/>
    </row>
    <row r="148" spans="1:10">
      <c r="A148" s="74"/>
      <c r="B148" s="74"/>
      <c r="C148" s="74"/>
      <c r="D148" s="76" t="s">
        <v>652</v>
      </c>
      <c r="E148" s="76"/>
      <c r="F148" s="76"/>
      <c r="G148" s="441"/>
    </row>
    <row r="149" spans="1:10" ht="23.25" customHeight="1">
      <c r="A149" s="74"/>
      <c r="B149" s="74"/>
      <c r="C149" s="74"/>
      <c r="D149" s="75"/>
      <c r="E149" s="76"/>
      <c r="F149" s="75"/>
      <c r="G149" s="441"/>
      <c r="J149" s="4"/>
    </row>
    <row r="150" spans="1:10">
      <c r="A150" s="74"/>
      <c r="B150" s="74"/>
      <c r="C150" s="74"/>
      <c r="D150" s="76"/>
      <c r="E150" s="76"/>
      <c r="F150" s="76"/>
      <c r="G150" s="441"/>
      <c r="J150" s="12"/>
    </row>
    <row r="151" spans="1:10">
      <c r="A151" s="74"/>
      <c r="B151" s="74"/>
      <c r="C151" s="74"/>
      <c r="D151" s="75"/>
      <c r="E151" s="76"/>
      <c r="F151" s="76"/>
      <c r="G151" s="441"/>
    </row>
    <row r="152" spans="1:10" ht="18" customHeight="1">
      <c r="A152" s="74"/>
      <c r="B152" s="74"/>
      <c r="C152" s="74"/>
      <c r="D152" s="75"/>
      <c r="E152" s="76"/>
      <c r="F152" s="76"/>
      <c r="G152" s="441"/>
    </row>
    <row r="153" spans="1:10" ht="18" customHeight="1">
      <c r="A153" s="74"/>
      <c r="B153" s="74"/>
      <c r="C153" s="74"/>
      <c r="D153" s="75"/>
      <c r="E153" s="76"/>
      <c r="F153" s="76"/>
      <c r="G153" s="441"/>
    </row>
    <row r="154" spans="1:10" ht="18" customHeight="1">
      <c r="A154" s="74"/>
      <c r="B154" s="74"/>
      <c r="C154" s="74"/>
      <c r="D154" s="75"/>
      <c r="E154" s="76"/>
      <c r="F154" s="76"/>
      <c r="G154" s="441"/>
    </row>
    <row r="155" spans="1:10" ht="18" customHeight="1">
      <c r="A155" s="74"/>
      <c r="B155" s="74"/>
      <c r="C155" s="74"/>
      <c r="D155" s="442"/>
      <c r="E155" s="76"/>
      <c r="F155" s="76"/>
      <c r="G155" s="441"/>
    </row>
    <row r="156" spans="1:10" ht="18" customHeight="1">
      <c r="A156" s="74"/>
      <c r="B156" s="74"/>
      <c r="C156" s="74"/>
      <c r="D156" s="443"/>
      <c r="E156" s="76"/>
      <c r="F156" s="76"/>
      <c r="G156" s="441"/>
      <c r="J156" s="3"/>
    </row>
    <row r="157" spans="1:10" ht="18" customHeight="1">
      <c r="A157" s="697"/>
      <c r="B157" s="697"/>
      <c r="C157" s="697"/>
      <c r="D157" s="444"/>
      <c r="E157" s="445"/>
      <c r="F157" s="445"/>
      <c r="G157" s="445"/>
    </row>
    <row r="159" spans="1:10">
      <c r="C159" s="68"/>
    </row>
    <row r="160" spans="1:10">
      <c r="D160" s="66"/>
    </row>
    <row r="161" spans="1:7">
      <c r="D161" s="69"/>
    </row>
    <row r="162" spans="1:7">
      <c r="D162" s="67"/>
    </row>
    <row r="163" spans="1:7">
      <c r="C163" s="68"/>
    </row>
    <row r="171" spans="1:7">
      <c r="A171" s="698"/>
      <c r="B171" s="698"/>
      <c r="C171" s="698"/>
      <c r="D171" s="698"/>
      <c r="E171" s="698"/>
      <c r="F171" s="698"/>
      <c r="G171" s="698"/>
    </row>
    <row r="179" spans="3:3">
      <c r="C179" s="68"/>
    </row>
  </sheetData>
  <mergeCells count="6">
    <mergeCell ref="A157:C157"/>
    <mergeCell ref="A171:G171"/>
    <mergeCell ref="A1:G1"/>
    <mergeCell ref="A2:G2"/>
    <mergeCell ref="A3:G3"/>
    <mergeCell ref="A4:G4"/>
  </mergeCells>
  <pageMargins left="0.7" right="0.13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45"/>
  <sheetViews>
    <sheetView topLeftCell="A42" workbookViewId="0">
      <selection activeCell="D45" sqref="D45"/>
    </sheetView>
  </sheetViews>
  <sheetFormatPr defaultRowHeight="15"/>
  <cols>
    <col min="1" max="1" width="5.28515625" style="65" customWidth="1"/>
    <col min="2" max="2" width="21" style="65" customWidth="1"/>
    <col min="3" max="3" width="68.28515625" style="65" customWidth="1"/>
    <col min="4" max="4" width="24.85546875" customWidth="1"/>
    <col min="7" max="7" width="42.85546875" customWidth="1"/>
  </cols>
  <sheetData>
    <row r="1" spans="1:4" ht="15" customHeight="1">
      <c r="A1" s="701" t="s">
        <v>158</v>
      </c>
      <c r="B1" s="701"/>
      <c r="C1" s="701"/>
      <c r="D1" s="701"/>
    </row>
    <row r="2" spans="1:4" ht="15" customHeight="1">
      <c r="A2" s="701" t="s">
        <v>667</v>
      </c>
      <c r="B2" s="701"/>
      <c r="C2" s="701"/>
      <c r="D2" s="701"/>
    </row>
    <row r="3" spans="1:4" ht="15" customHeight="1">
      <c r="A3" s="701" t="s">
        <v>204</v>
      </c>
      <c r="B3" s="701"/>
      <c r="C3" s="701"/>
      <c r="D3" s="701"/>
    </row>
    <row r="4" spans="1:4" ht="15" customHeight="1">
      <c r="A4" s="419"/>
      <c r="B4" s="419"/>
      <c r="C4" s="419"/>
      <c r="D4" s="419"/>
    </row>
    <row r="5" spans="1:4" ht="15" customHeight="1" thickBot="1">
      <c r="A5" s="705" t="s">
        <v>151</v>
      </c>
      <c r="B5" s="705"/>
      <c r="C5" s="705"/>
      <c r="D5" s="705"/>
    </row>
    <row r="6" spans="1:4" ht="15" customHeight="1">
      <c r="A6" s="77" t="s">
        <v>0</v>
      </c>
      <c r="B6" s="78" t="s">
        <v>152</v>
      </c>
      <c r="C6" s="78" t="s">
        <v>153</v>
      </c>
      <c r="D6" s="78" t="s">
        <v>159</v>
      </c>
    </row>
    <row r="7" spans="1:4" ht="16.5" thickBot="1">
      <c r="A7" s="422"/>
      <c r="B7" s="423" t="s">
        <v>156</v>
      </c>
      <c r="C7" s="423"/>
      <c r="D7" s="423" t="s">
        <v>160</v>
      </c>
    </row>
    <row r="8" spans="1:4">
      <c r="A8" s="424">
        <v>1</v>
      </c>
      <c r="B8" s="424">
        <v>11100100100</v>
      </c>
      <c r="C8" s="425" t="s">
        <v>42</v>
      </c>
      <c r="D8" s="426">
        <v>240000000</v>
      </c>
    </row>
    <row r="9" spans="1:4">
      <c r="A9" s="427">
        <v>2</v>
      </c>
      <c r="B9" s="427">
        <v>11100100200</v>
      </c>
      <c r="C9" s="428" t="s">
        <v>43</v>
      </c>
      <c r="D9" s="429">
        <f>4151000000-3000000000</f>
        <v>1151000000</v>
      </c>
    </row>
    <row r="10" spans="1:4">
      <c r="A10" s="430">
        <v>3</v>
      </c>
      <c r="B10" s="430">
        <v>11100300100</v>
      </c>
      <c r="C10" s="431" t="s">
        <v>44</v>
      </c>
      <c r="D10" s="432">
        <v>5000000</v>
      </c>
    </row>
    <row r="11" spans="1:4">
      <c r="A11" s="430">
        <v>4</v>
      </c>
      <c r="B11" s="427">
        <v>11100800100</v>
      </c>
      <c r="C11" s="428" t="s">
        <v>45</v>
      </c>
      <c r="D11" s="429">
        <f>70000000+150000000</f>
        <v>220000000</v>
      </c>
    </row>
    <row r="12" spans="1:4">
      <c r="A12" s="430">
        <v>5</v>
      </c>
      <c r="B12" s="430">
        <v>11101000100</v>
      </c>
      <c r="C12" s="431" t="s">
        <v>46</v>
      </c>
      <c r="D12" s="432">
        <v>85000000</v>
      </c>
    </row>
    <row r="13" spans="1:4">
      <c r="A13" s="617">
        <v>6</v>
      </c>
      <c r="B13" s="617">
        <v>11101200100</v>
      </c>
      <c r="C13" s="618" t="s">
        <v>329</v>
      </c>
      <c r="D13" s="619">
        <f>2000000000-500000000</f>
        <v>1500000000</v>
      </c>
    </row>
    <row r="14" spans="1:4">
      <c r="A14" s="430">
        <v>7</v>
      </c>
      <c r="B14" s="430">
        <v>11101300200</v>
      </c>
      <c r="C14" s="431" t="s">
        <v>28</v>
      </c>
      <c r="D14" s="432">
        <v>486000000</v>
      </c>
    </row>
    <row r="15" spans="1:4">
      <c r="A15" s="430">
        <v>8</v>
      </c>
      <c r="B15" s="430">
        <v>11101700100</v>
      </c>
      <c r="C15" s="431" t="s">
        <v>112</v>
      </c>
      <c r="D15" s="432">
        <v>5000000</v>
      </c>
    </row>
    <row r="16" spans="1:4">
      <c r="A16" s="617">
        <v>9</v>
      </c>
      <c r="B16" s="617">
        <v>11102000100</v>
      </c>
      <c r="C16" s="618" t="s">
        <v>47</v>
      </c>
      <c r="D16" s="619">
        <f>1030000000-600000000</f>
        <v>430000000</v>
      </c>
    </row>
    <row r="17" spans="1:4" ht="18" customHeight="1">
      <c r="A17" s="430">
        <v>10</v>
      </c>
      <c r="B17" s="430">
        <v>11102100100</v>
      </c>
      <c r="C17" s="431" t="s">
        <v>48</v>
      </c>
      <c r="D17" s="432">
        <v>10000000</v>
      </c>
    </row>
    <row r="18" spans="1:4">
      <c r="A18" s="430">
        <v>11</v>
      </c>
      <c r="B18" s="430">
        <v>11102100200</v>
      </c>
      <c r="C18" s="431" t="s">
        <v>49</v>
      </c>
      <c r="D18" s="432">
        <v>8000000</v>
      </c>
    </row>
    <row r="19" spans="1:4">
      <c r="A19" s="430">
        <v>12</v>
      </c>
      <c r="B19" s="430">
        <v>11103300100</v>
      </c>
      <c r="C19" s="431" t="s">
        <v>50</v>
      </c>
      <c r="D19" s="432">
        <v>150000000</v>
      </c>
    </row>
    <row r="20" spans="1:4">
      <c r="A20" s="430">
        <v>13</v>
      </c>
      <c r="B20" s="430">
        <v>11103500100</v>
      </c>
      <c r="C20" s="431" t="s">
        <v>187</v>
      </c>
      <c r="D20" s="432">
        <v>220000000</v>
      </c>
    </row>
    <row r="21" spans="1:4">
      <c r="A21" s="430">
        <v>14</v>
      </c>
      <c r="B21" s="430">
        <v>11103500200</v>
      </c>
      <c r="C21" s="431" t="s">
        <v>113</v>
      </c>
      <c r="D21" s="432">
        <v>25000000</v>
      </c>
    </row>
    <row r="22" spans="1:4">
      <c r="A22" s="430">
        <v>15</v>
      </c>
      <c r="B22" s="430">
        <v>11103700100</v>
      </c>
      <c r="C22" s="431" t="s">
        <v>51</v>
      </c>
      <c r="D22" s="432">
        <v>25000000</v>
      </c>
    </row>
    <row r="23" spans="1:4">
      <c r="A23" s="430">
        <v>16</v>
      </c>
      <c r="B23" s="430">
        <v>11103800100</v>
      </c>
      <c r="C23" s="431" t="s">
        <v>52</v>
      </c>
      <c r="D23" s="432">
        <v>15000000</v>
      </c>
    </row>
    <row r="24" spans="1:4">
      <c r="A24" s="617">
        <v>17</v>
      </c>
      <c r="B24" s="617">
        <v>11104400100</v>
      </c>
      <c r="C24" s="618" t="s">
        <v>629</v>
      </c>
      <c r="D24" s="619">
        <f>600000000-490000000</f>
        <v>110000000</v>
      </c>
    </row>
    <row r="25" spans="1:4">
      <c r="A25" s="617"/>
      <c r="B25" s="617">
        <v>11105100100</v>
      </c>
      <c r="C25" s="618" t="s">
        <v>53</v>
      </c>
      <c r="D25" s="619">
        <v>34000000</v>
      </c>
    </row>
    <row r="26" spans="1:4" ht="30">
      <c r="A26" s="427">
        <v>18</v>
      </c>
      <c r="B26" s="427">
        <v>11113200100</v>
      </c>
      <c r="C26" s="428" t="s">
        <v>54</v>
      </c>
      <c r="D26" s="429">
        <f>5582830083-1850000000</f>
        <v>3732830083</v>
      </c>
    </row>
    <row r="27" spans="1:4">
      <c r="A27" s="617">
        <v>19</v>
      </c>
      <c r="B27" s="617">
        <v>11200300100</v>
      </c>
      <c r="C27" s="618" t="s">
        <v>55</v>
      </c>
      <c r="D27" s="619">
        <v>493140000</v>
      </c>
    </row>
    <row r="28" spans="1:4">
      <c r="A28" s="430">
        <v>20</v>
      </c>
      <c r="B28" s="430">
        <v>11200400100</v>
      </c>
      <c r="C28" s="431" t="s">
        <v>56</v>
      </c>
      <c r="D28" s="432">
        <v>20349000</v>
      </c>
    </row>
    <row r="29" spans="1:4">
      <c r="A29" s="430">
        <v>21</v>
      </c>
      <c r="B29" s="427">
        <v>12300100100</v>
      </c>
      <c r="C29" s="428" t="s">
        <v>412</v>
      </c>
      <c r="D29" s="429">
        <f>100000000+23000000</f>
        <v>123000000</v>
      </c>
    </row>
    <row r="30" spans="1:4">
      <c r="A30" s="430">
        <v>22</v>
      </c>
      <c r="B30" s="430">
        <v>12300300100</v>
      </c>
      <c r="C30" s="431" t="s">
        <v>57</v>
      </c>
      <c r="D30" s="432">
        <v>220000000</v>
      </c>
    </row>
    <row r="31" spans="1:4">
      <c r="A31" s="666">
        <v>23</v>
      </c>
      <c r="B31" s="666">
        <v>12300400200</v>
      </c>
      <c r="C31" s="667" t="s">
        <v>27</v>
      </c>
      <c r="D31" s="668">
        <v>68000000</v>
      </c>
    </row>
    <row r="32" spans="1:4">
      <c r="A32" s="430">
        <v>24</v>
      </c>
      <c r="B32" s="430">
        <v>12301300100</v>
      </c>
      <c r="C32" s="431" t="s">
        <v>117</v>
      </c>
      <c r="D32" s="432">
        <v>5000000</v>
      </c>
    </row>
    <row r="33" spans="1:7">
      <c r="A33" s="438"/>
      <c r="B33" s="438"/>
      <c r="C33" s="439" t="s">
        <v>166</v>
      </c>
      <c r="D33" s="440"/>
    </row>
    <row r="34" spans="1:7">
      <c r="A34" s="430">
        <v>25</v>
      </c>
      <c r="B34" s="430">
        <v>12305500100</v>
      </c>
      <c r="C34" s="431" t="s">
        <v>647</v>
      </c>
      <c r="D34" s="432">
        <v>5000000</v>
      </c>
    </row>
    <row r="35" spans="1:7">
      <c r="A35" s="424">
        <v>26</v>
      </c>
      <c r="B35" s="435">
        <v>12305600100</v>
      </c>
      <c r="C35" s="436" t="s">
        <v>118</v>
      </c>
      <c r="D35" s="437">
        <f>15000000+12500000</f>
        <v>27500000</v>
      </c>
    </row>
    <row r="36" spans="1:7" ht="16.5" customHeight="1">
      <c r="A36" s="430">
        <v>27</v>
      </c>
      <c r="B36" s="430">
        <v>12500100100</v>
      </c>
      <c r="C36" s="431" t="s">
        <v>58</v>
      </c>
      <c r="D36" s="432">
        <v>10000000</v>
      </c>
    </row>
    <row r="37" spans="1:7">
      <c r="A37" s="430">
        <v>28</v>
      </c>
      <c r="B37" s="430">
        <v>12500600100</v>
      </c>
      <c r="C37" s="431" t="s">
        <v>59</v>
      </c>
      <c r="D37" s="432">
        <v>80000000</v>
      </c>
    </row>
    <row r="38" spans="1:7" ht="16.5" customHeight="1">
      <c r="A38" s="430">
        <v>29</v>
      </c>
      <c r="B38" s="430">
        <v>12500700100</v>
      </c>
      <c r="C38" s="431" t="s">
        <v>60</v>
      </c>
      <c r="D38" s="432">
        <v>15000000</v>
      </c>
    </row>
    <row r="39" spans="1:7">
      <c r="A39" s="430">
        <v>30</v>
      </c>
      <c r="B39" s="430">
        <v>12500800100</v>
      </c>
      <c r="C39" s="431" t="s">
        <v>122</v>
      </c>
      <c r="D39" s="432">
        <v>5000000</v>
      </c>
    </row>
    <row r="40" spans="1:7">
      <c r="A40" s="430">
        <v>31</v>
      </c>
      <c r="B40" s="430">
        <v>14000100100</v>
      </c>
      <c r="C40" s="431" t="s">
        <v>61</v>
      </c>
      <c r="D40" s="432">
        <v>10000000</v>
      </c>
    </row>
    <row r="41" spans="1:7">
      <c r="A41" s="430">
        <v>32</v>
      </c>
      <c r="B41" s="430">
        <v>14000200100</v>
      </c>
      <c r="C41" s="431" t="s">
        <v>62</v>
      </c>
      <c r="D41" s="432">
        <v>8000000</v>
      </c>
    </row>
    <row r="42" spans="1:7">
      <c r="A42" s="430">
        <v>33</v>
      </c>
      <c r="B42" s="430">
        <v>14700100100</v>
      </c>
      <c r="C42" s="431" t="s">
        <v>63</v>
      </c>
      <c r="D42" s="432">
        <v>13000000</v>
      </c>
    </row>
    <row r="43" spans="1:7">
      <c r="A43" s="617">
        <v>34</v>
      </c>
      <c r="B43" s="617">
        <v>14800100100</v>
      </c>
      <c r="C43" s="618" t="s">
        <v>64</v>
      </c>
      <c r="D43" s="619">
        <f>2010000000-1900000000</f>
        <v>110000000</v>
      </c>
    </row>
    <row r="44" spans="1:7">
      <c r="A44" s="617">
        <v>35</v>
      </c>
      <c r="B44" s="617">
        <v>21500100100</v>
      </c>
      <c r="C44" s="618" t="s">
        <v>631</v>
      </c>
      <c r="D44" s="619">
        <f>2726800000-500000000</f>
        <v>2226800000</v>
      </c>
    </row>
    <row r="45" spans="1:7">
      <c r="A45" s="430">
        <v>36</v>
      </c>
      <c r="B45" s="430">
        <v>21510200100</v>
      </c>
      <c r="C45" s="431" t="s">
        <v>65</v>
      </c>
      <c r="D45" s="432">
        <v>1043485000</v>
      </c>
    </row>
    <row r="46" spans="1:7">
      <c r="A46" s="430">
        <v>37</v>
      </c>
      <c r="B46" s="430">
        <v>21511000100</v>
      </c>
      <c r="C46" s="431" t="s">
        <v>66</v>
      </c>
      <c r="D46" s="432">
        <v>70000000</v>
      </c>
    </row>
    <row r="47" spans="1:7">
      <c r="A47" s="430">
        <v>38</v>
      </c>
      <c r="B47" s="430">
        <v>21511500100</v>
      </c>
      <c r="C47" s="431" t="s">
        <v>67</v>
      </c>
      <c r="D47" s="432">
        <v>20000000</v>
      </c>
      <c r="G47" s="12"/>
    </row>
    <row r="48" spans="1:7">
      <c r="A48" s="617">
        <v>39</v>
      </c>
      <c r="B48" s="617">
        <v>21511600100</v>
      </c>
      <c r="C48" s="618" t="s">
        <v>68</v>
      </c>
      <c r="D48" s="619">
        <f>300000000-150000000</f>
        <v>150000000</v>
      </c>
    </row>
    <row r="49" spans="1:7">
      <c r="A49" s="430">
        <v>40</v>
      </c>
      <c r="B49" s="427">
        <v>22000100100</v>
      </c>
      <c r="C49" s="428" t="s">
        <v>69</v>
      </c>
      <c r="D49" s="429">
        <f>64800000+3500000</f>
        <v>68300000</v>
      </c>
    </row>
    <row r="50" spans="1:7">
      <c r="A50" s="430">
        <v>41</v>
      </c>
      <c r="B50" s="430">
        <v>22000200100</v>
      </c>
      <c r="C50" s="431" t="s">
        <v>70</v>
      </c>
      <c r="D50" s="432">
        <v>5000000</v>
      </c>
    </row>
    <row r="51" spans="1:7">
      <c r="A51" s="617">
        <v>42</v>
      </c>
      <c r="B51" s="617">
        <v>22000700100</v>
      </c>
      <c r="C51" s="618" t="s">
        <v>71</v>
      </c>
      <c r="D51" s="619">
        <f>660000000-252000000</f>
        <v>408000000</v>
      </c>
    </row>
    <row r="52" spans="1:7">
      <c r="A52" s="430">
        <v>43</v>
      </c>
      <c r="B52" s="430">
        <v>22000800100</v>
      </c>
      <c r="C52" s="431" t="s">
        <v>72</v>
      </c>
      <c r="D52" s="432">
        <v>90000000</v>
      </c>
      <c r="G52" s="4"/>
    </row>
    <row r="53" spans="1:7">
      <c r="A53" s="617">
        <v>44</v>
      </c>
      <c r="B53" s="617">
        <v>22200100100</v>
      </c>
      <c r="C53" s="618" t="s">
        <v>632</v>
      </c>
      <c r="D53" s="619">
        <f>1696000000-1000000000</f>
        <v>696000000</v>
      </c>
    </row>
    <row r="54" spans="1:7">
      <c r="A54" s="430">
        <v>45</v>
      </c>
      <c r="B54" s="430">
        <v>22205100100</v>
      </c>
      <c r="C54" s="431" t="s">
        <v>73</v>
      </c>
      <c r="D54" s="432">
        <v>10000000</v>
      </c>
    </row>
    <row r="55" spans="1:7">
      <c r="A55" s="430">
        <v>46</v>
      </c>
      <c r="B55" s="427">
        <v>22800700100</v>
      </c>
      <c r="C55" s="428" t="s">
        <v>74</v>
      </c>
      <c r="D55" s="429">
        <f>130000000+284000000</f>
        <v>414000000</v>
      </c>
    </row>
    <row r="56" spans="1:7">
      <c r="A56" s="430">
        <v>47</v>
      </c>
      <c r="B56" s="430">
        <v>22900100100</v>
      </c>
      <c r="C56" s="431" t="s">
        <v>634</v>
      </c>
      <c r="D56" s="432">
        <v>200000000</v>
      </c>
    </row>
    <row r="57" spans="1:7">
      <c r="A57" s="430">
        <v>48</v>
      </c>
      <c r="B57" s="427">
        <v>23100300100</v>
      </c>
      <c r="C57" s="428" t="s">
        <v>75</v>
      </c>
      <c r="D57" s="429">
        <v>650000000</v>
      </c>
    </row>
    <row r="58" spans="1:7">
      <c r="A58" s="430">
        <v>49</v>
      </c>
      <c r="B58" s="430">
        <v>23305100100</v>
      </c>
      <c r="C58" s="431" t="s">
        <v>636</v>
      </c>
      <c r="D58" s="432">
        <v>319500000</v>
      </c>
    </row>
    <row r="59" spans="1:7" ht="15.75" customHeight="1">
      <c r="A59" s="430">
        <v>50</v>
      </c>
      <c r="B59" s="430">
        <v>23400100100</v>
      </c>
      <c r="C59" s="431" t="s">
        <v>637</v>
      </c>
      <c r="D59" s="432">
        <v>15800000000</v>
      </c>
    </row>
    <row r="60" spans="1:7" ht="27.75" customHeight="1">
      <c r="A60" s="430">
        <v>51</v>
      </c>
      <c r="B60" s="430">
        <v>23400400100</v>
      </c>
      <c r="C60" s="431" t="s">
        <v>76</v>
      </c>
      <c r="D60" s="432">
        <v>450000000</v>
      </c>
    </row>
    <row r="61" spans="1:7" ht="30">
      <c r="A61" s="430">
        <v>52</v>
      </c>
      <c r="B61" s="430">
        <v>23405600100</v>
      </c>
      <c r="C61" s="431" t="s">
        <v>195</v>
      </c>
      <c r="D61" s="432">
        <v>3200000000</v>
      </c>
    </row>
    <row r="62" spans="1:7">
      <c r="A62" s="430">
        <v>53</v>
      </c>
      <c r="B62" s="430">
        <v>23600100100</v>
      </c>
      <c r="C62" s="431" t="s">
        <v>77</v>
      </c>
      <c r="D62" s="432">
        <v>99000000</v>
      </c>
    </row>
    <row r="63" spans="1:7">
      <c r="A63" s="438"/>
      <c r="B63" s="438"/>
      <c r="C63" s="439" t="s">
        <v>164</v>
      </c>
      <c r="D63" s="440"/>
    </row>
    <row r="64" spans="1:7">
      <c r="A64" s="617">
        <v>54</v>
      </c>
      <c r="B64" s="617">
        <v>23800100100</v>
      </c>
      <c r="C64" s="618" t="s">
        <v>78</v>
      </c>
      <c r="D64" s="619">
        <f>1623200000-400000000</f>
        <v>1223200000</v>
      </c>
    </row>
    <row r="65" spans="1:4" ht="30">
      <c r="A65" s="424">
        <v>55</v>
      </c>
      <c r="B65" s="424">
        <v>23800100500</v>
      </c>
      <c r="C65" s="425" t="s">
        <v>639</v>
      </c>
      <c r="D65" s="426">
        <v>80000000</v>
      </c>
    </row>
    <row r="66" spans="1:4">
      <c r="A66" s="430">
        <v>56</v>
      </c>
      <c r="B66" s="430">
        <v>23800400100</v>
      </c>
      <c r="C66" s="431" t="s">
        <v>79</v>
      </c>
      <c r="D66" s="432">
        <v>150000000</v>
      </c>
    </row>
    <row r="67" spans="1:4">
      <c r="A67" s="617">
        <v>57</v>
      </c>
      <c r="B67" s="617">
        <v>25210200100</v>
      </c>
      <c r="C67" s="618" t="s">
        <v>80</v>
      </c>
      <c r="D67" s="619">
        <f>4604160000-300000000</f>
        <v>4304160000</v>
      </c>
    </row>
    <row r="68" spans="1:4" ht="30">
      <c r="A68" s="430">
        <v>58</v>
      </c>
      <c r="B68" s="430">
        <v>25210300100</v>
      </c>
      <c r="C68" s="431" t="s">
        <v>640</v>
      </c>
      <c r="D68" s="432">
        <v>305000000</v>
      </c>
    </row>
    <row r="69" spans="1:4">
      <c r="A69" s="430">
        <v>59</v>
      </c>
      <c r="B69" s="430">
        <v>25305300100</v>
      </c>
      <c r="C69" s="431" t="s">
        <v>81</v>
      </c>
      <c r="D69" s="432">
        <v>314000000</v>
      </c>
    </row>
    <row r="70" spans="1:4">
      <c r="A70" s="430">
        <v>60</v>
      </c>
      <c r="B70" s="430">
        <v>25305700100</v>
      </c>
      <c r="C70" s="431" t="s">
        <v>82</v>
      </c>
      <c r="D70" s="432">
        <v>20000000</v>
      </c>
    </row>
    <row r="71" spans="1:4">
      <c r="A71" s="430">
        <v>61</v>
      </c>
      <c r="B71" s="427">
        <v>26000100100</v>
      </c>
      <c r="C71" s="428" t="s">
        <v>83</v>
      </c>
      <c r="D71" s="429">
        <f>1000000000+1000000000-300000000</f>
        <v>1700000000</v>
      </c>
    </row>
    <row r="72" spans="1:4" ht="15.75" customHeight="1">
      <c r="A72" s="430">
        <v>62</v>
      </c>
      <c r="B72" s="427">
        <v>26100100100</v>
      </c>
      <c r="C72" s="428" t="s">
        <v>317</v>
      </c>
      <c r="D72" s="429">
        <v>300000000</v>
      </c>
    </row>
    <row r="73" spans="1:4" ht="15.75" customHeight="1">
      <c r="A73" s="430">
        <v>63</v>
      </c>
      <c r="B73" s="430">
        <v>26300100100</v>
      </c>
      <c r="C73" s="431" t="s">
        <v>197</v>
      </c>
      <c r="D73" s="432">
        <v>140000000</v>
      </c>
    </row>
    <row r="74" spans="1:4">
      <c r="A74" s="430">
        <v>64</v>
      </c>
      <c r="B74" s="430">
        <v>31800100100</v>
      </c>
      <c r="C74" s="431" t="s">
        <v>26</v>
      </c>
      <c r="D74" s="432">
        <v>1180000000</v>
      </c>
    </row>
    <row r="75" spans="1:4">
      <c r="A75" s="430">
        <v>65</v>
      </c>
      <c r="B75" s="430">
        <v>31801100100</v>
      </c>
      <c r="C75" s="431" t="s">
        <v>84</v>
      </c>
      <c r="D75" s="432">
        <v>10000000</v>
      </c>
    </row>
    <row r="76" spans="1:4">
      <c r="A76" s="430">
        <v>66</v>
      </c>
      <c r="B76" s="430">
        <v>32600100100</v>
      </c>
      <c r="C76" s="431" t="s">
        <v>85</v>
      </c>
      <c r="D76" s="432">
        <v>222000000</v>
      </c>
    </row>
    <row r="77" spans="1:4">
      <c r="A77" s="430">
        <v>67</v>
      </c>
      <c r="B77" s="430">
        <v>32600200100</v>
      </c>
      <c r="C77" s="431" t="s">
        <v>86</v>
      </c>
      <c r="D77" s="432">
        <v>40000000</v>
      </c>
    </row>
    <row r="78" spans="1:4">
      <c r="A78" s="430">
        <v>68</v>
      </c>
      <c r="B78" s="430">
        <v>32605200100</v>
      </c>
      <c r="C78" s="431" t="s">
        <v>87</v>
      </c>
      <c r="D78" s="432">
        <v>5000000</v>
      </c>
    </row>
    <row r="79" spans="1:4">
      <c r="A79" s="430">
        <v>69</v>
      </c>
      <c r="B79" s="427">
        <v>51300100100</v>
      </c>
      <c r="C79" s="428" t="s">
        <v>518</v>
      </c>
      <c r="D79" s="429">
        <f>100000000+50000000</f>
        <v>150000000</v>
      </c>
    </row>
    <row r="80" spans="1:4">
      <c r="A80" s="430">
        <v>70</v>
      </c>
      <c r="B80" s="430">
        <v>51300100200</v>
      </c>
      <c r="C80" s="431" t="s">
        <v>88</v>
      </c>
      <c r="D80" s="432">
        <v>110000000</v>
      </c>
    </row>
    <row r="81" spans="1:4">
      <c r="A81" s="430">
        <v>71</v>
      </c>
      <c r="B81" s="430">
        <v>51400100100</v>
      </c>
      <c r="C81" s="431" t="s">
        <v>89</v>
      </c>
      <c r="D81" s="432">
        <v>45000000</v>
      </c>
    </row>
    <row r="82" spans="1:4" ht="30">
      <c r="A82" s="430">
        <v>72</v>
      </c>
      <c r="B82" s="430">
        <v>51400100200</v>
      </c>
      <c r="C82" s="431" t="s">
        <v>90</v>
      </c>
      <c r="D82" s="432">
        <v>5000000</v>
      </c>
    </row>
    <row r="83" spans="1:4">
      <c r="A83" s="617">
        <v>73</v>
      </c>
      <c r="B83" s="617">
        <v>51700100100</v>
      </c>
      <c r="C83" s="618" t="s">
        <v>641</v>
      </c>
      <c r="D83" s="619">
        <f>1515000000-400000000</f>
        <v>1115000000</v>
      </c>
    </row>
    <row r="84" spans="1:4" ht="30">
      <c r="A84" s="430">
        <v>74</v>
      </c>
      <c r="B84" s="427">
        <v>51700300100</v>
      </c>
      <c r="C84" s="428" t="s">
        <v>91</v>
      </c>
      <c r="D84" s="429">
        <v>9772686368</v>
      </c>
    </row>
    <row r="85" spans="1:4">
      <c r="A85" s="430">
        <v>75</v>
      </c>
      <c r="B85" s="430">
        <v>51700800100</v>
      </c>
      <c r="C85" s="431" t="s">
        <v>92</v>
      </c>
      <c r="D85" s="432">
        <v>70000000</v>
      </c>
    </row>
    <row r="86" spans="1:4">
      <c r="A86" s="617">
        <v>76</v>
      </c>
      <c r="B86" s="617">
        <v>51701800100</v>
      </c>
      <c r="C86" s="618" t="s">
        <v>93</v>
      </c>
      <c r="D86" s="619">
        <f>100000000+400000000</f>
        <v>500000000</v>
      </c>
    </row>
    <row r="87" spans="1:4">
      <c r="A87" s="617">
        <v>77</v>
      </c>
      <c r="B87" s="617">
        <v>51702100100</v>
      </c>
      <c r="C87" s="618" t="s">
        <v>94</v>
      </c>
      <c r="D87" s="619">
        <f>200000000+100000000</f>
        <v>300000000</v>
      </c>
    </row>
    <row r="88" spans="1:4" ht="30">
      <c r="A88" s="430">
        <v>78</v>
      </c>
      <c r="B88" s="430">
        <v>51702100200</v>
      </c>
      <c r="C88" s="431" t="s">
        <v>95</v>
      </c>
      <c r="D88" s="432">
        <v>1200000000</v>
      </c>
    </row>
    <row r="89" spans="1:4">
      <c r="A89" s="430">
        <v>79</v>
      </c>
      <c r="B89" s="427">
        <v>51702100300</v>
      </c>
      <c r="C89" s="428" t="s">
        <v>96</v>
      </c>
      <c r="D89" s="429">
        <v>500000000</v>
      </c>
    </row>
    <row r="90" spans="1:4">
      <c r="A90" s="438"/>
      <c r="B90" s="625"/>
      <c r="C90" s="627" t="s">
        <v>165</v>
      </c>
      <c r="D90" s="626"/>
    </row>
    <row r="91" spans="1:4">
      <c r="A91" s="424"/>
      <c r="B91" s="624" t="s">
        <v>656</v>
      </c>
      <c r="C91" s="436" t="s">
        <v>340</v>
      </c>
      <c r="D91" s="437">
        <f>'Project detail capital'!F73</f>
        <v>267926261.93000001</v>
      </c>
    </row>
    <row r="92" spans="1:4">
      <c r="A92" s="430">
        <v>80</v>
      </c>
      <c r="B92" s="430">
        <v>51705400100</v>
      </c>
      <c r="C92" s="431" t="s">
        <v>97</v>
      </c>
      <c r="D92" s="432">
        <v>20000000</v>
      </c>
    </row>
    <row r="93" spans="1:4">
      <c r="A93" s="424">
        <v>81</v>
      </c>
      <c r="B93" s="424">
        <v>51705400200</v>
      </c>
      <c r="C93" s="425" t="s">
        <v>138</v>
      </c>
      <c r="D93" s="426">
        <v>2000000</v>
      </c>
    </row>
    <row r="94" spans="1:4">
      <c r="A94" s="430">
        <v>82</v>
      </c>
      <c r="B94" s="430">
        <v>51705400300</v>
      </c>
      <c r="C94" s="431" t="s">
        <v>139</v>
      </c>
      <c r="D94" s="432">
        <v>2000000</v>
      </c>
    </row>
    <row r="95" spans="1:4">
      <c r="A95" s="430">
        <v>83</v>
      </c>
      <c r="B95" s="430">
        <v>51705400400</v>
      </c>
      <c r="C95" s="431" t="s">
        <v>140</v>
      </c>
      <c r="D95" s="432">
        <v>2000000</v>
      </c>
    </row>
    <row r="96" spans="1:4">
      <c r="A96" s="430">
        <v>84</v>
      </c>
      <c r="B96" s="430">
        <v>51705400500</v>
      </c>
      <c r="C96" s="431" t="s">
        <v>141</v>
      </c>
      <c r="D96" s="432">
        <v>2000000</v>
      </c>
    </row>
    <row r="97" spans="1:4">
      <c r="A97" s="430">
        <v>85</v>
      </c>
      <c r="B97" s="430">
        <v>51705400600</v>
      </c>
      <c r="C97" s="431" t="s">
        <v>142</v>
      </c>
      <c r="D97" s="432">
        <v>3000000</v>
      </c>
    </row>
    <row r="98" spans="1:4">
      <c r="A98" s="430">
        <v>86</v>
      </c>
      <c r="B98" s="430">
        <v>51705400700</v>
      </c>
      <c r="C98" s="431" t="s">
        <v>143</v>
      </c>
      <c r="D98" s="432">
        <v>2000000</v>
      </c>
    </row>
    <row r="99" spans="1:4">
      <c r="A99" s="430">
        <v>87</v>
      </c>
      <c r="B99" s="430">
        <v>51705400800</v>
      </c>
      <c r="C99" s="431" t="s">
        <v>144</v>
      </c>
      <c r="D99" s="432">
        <v>2000000</v>
      </c>
    </row>
    <row r="100" spans="1:4">
      <c r="A100" s="430">
        <v>88</v>
      </c>
      <c r="B100" s="430">
        <v>51705400900</v>
      </c>
      <c r="C100" s="431" t="s">
        <v>145</v>
      </c>
      <c r="D100" s="432">
        <v>2000000</v>
      </c>
    </row>
    <row r="101" spans="1:4">
      <c r="A101" s="430">
        <v>89</v>
      </c>
      <c r="B101" s="430">
        <v>51705401000</v>
      </c>
      <c r="C101" s="431" t="s">
        <v>146</v>
      </c>
      <c r="D101" s="432">
        <v>2000000</v>
      </c>
    </row>
    <row r="102" spans="1:4">
      <c r="A102" s="430">
        <v>90</v>
      </c>
      <c r="B102" s="430">
        <v>51705600100</v>
      </c>
      <c r="C102" s="431" t="s">
        <v>98</v>
      </c>
      <c r="D102" s="432">
        <v>520900000</v>
      </c>
    </row>
    <row r="103" spans="1:4">
      <c r="A103" s="617">
        <v>91</v>
      </c>
      <c r="B103" s="617">
        <v>51800100100</v>
      </c>
      <c r="C103" s="618" t="s">
        <v>642</v>
      </c>
      <c r="D103" s="619">
        <f>125000000-50000000</f>
        <v>75000000</v>
      </c>
    </row>
    <row r="104" spans="1:4">
      <c r="A104" s="617">
        <v>92</v>
      </c>
      <c r="B104" s="617">
        <v>52100100100</v>
      </c>
      <c r="C104" s="618" t="s">
        <v>99</v>
      </c>
      <c r="D104" s="619">
        <f>3312000000+36000000-200000000</f>
        <v>3148000000</v>
      </c>
    </row>
    <row r="105" spans="1:4">
      <c r="A105" s="430">
        <v>93</v>
      </c>
      <c r="B105" s="430">
        <v>52100300100</v>
      </c>
      <c r="C105" s="431" t="s">
        <v>643</v>
      </c>
      <c r="D105" s="432">
        <v>3598134783</v>
      </c>
    </row>
    <row r="106" spans="1:4" ht="15.75" customHeight="1">
      <c r="A106" s="430">
        <v>94</v>
      </c>
      <c r="B106" s="430">
        <v>52110200100</v>
      </c>
      <c r="C106" s="431" t="s">
        <v>100</v>
      </c>
      <c r="D106" s="432">
        <v>163000000</v>
      </c>
    </row>
    <row r="107" spans="1:4" ht="17.25" customHeight="1">
      <c r="A107" s="430">
        <v>95</v>
      </c>
      <c r="B107" s="430">
        <v>52110300100</v>
      </c>
      <c r="C107" s="431" t="s">
        <v>147</v>
      </c>
      <c r="D107" s="432">
        <v>2000000</v>
      </c>
    </row>
    <row r="108" spans="1:4">
      <c r="A108" s="430">
        <v>96</v>
      </c>
      <c r="B108" s="430">
        <v>52110400100</v>
      </c>
      <c r="C108" s="431" t="s">
        <v>101</v>
      </c>
      <c r="D108" s="432">
        <v>63000000</v>
      </c>
    </row>
    <row r="109" spans="1:4">
      <c r="A109" s="430">
        <v>97</v>
      </c>
      <c r="B109" s="430">
        <v>52110400200</v>
      </c>
      <c r="C109" s="431" t="s">
        <v>102</v>
      </c>
      <c r="D109" s="432">
        <v>30000000</v>
      </c>
    </row>
    <row r="110" spans="1:4">
      <c r="A110" s="430">
        <v>98</v>
      </c>
      <c r="B110" s="427">
        <v>52110600100</v>
      </c>
      <c r="C110" s="428" t="s">
        <v>103</v>
      </c>
      <c r="D110" s="429">
        <f>10000000+16600000</f>
        <v>26600000</v>
      </c>
    </row>
    <row r="111" spans="1:4">
      <c r="A111" s="430">
        <v>99</v>
      </c>
      <c r="B111" s="430">
        <v>52111500100</v>
      </c>
      <c r="C111" s="431" t="s">
        <v>104</v>
      </c>
      <c r="D111" s="432">
        <v>50000000</v>
      </c>
    </row>
    <row r="112" spans="1:4">
      <c r="A112" s="430">
        <v>100</v>
      </c>
      <c r="B112" s="430">
        <v>52111600100</v>
      </c>
      <c r="C112" s="431" t="s">
        <v>105</v>
      </c>
      <c r="D112" s="432">
        <v>5000000</v>
      </c>
    </row>
    <row r="113" spans="1:7">
      <c r="A113" s="617">
        <v>101</v>
      </c>
      <c r="B113" s="617">
        <v>53500100100</v>
      </c>
      <c r="C113" s="618" t="s">
        <v>323</v>
      </c>
      <c r="D113" s="619">
        <f>1750000000-498000000+66000000</f>
        <v>1318000000</v>
      </c>
    </row>
    <row r="114" spans="1:7">
      <c r="A114" s="430">
        <v>102</v>
      </c>
      <c r="B114" s="430">
        <v>53505300100</v>
      </c>
      <c r="C114" s="431" t="s">
        <v>106</v>
      </c>
      <c r="D114" s="432">
        <v>60000000</v>
      </c>
    </row>
    <row r="115" spans="1:7">
      <c r="A115" s="430">
        <v>103</v>
      </c>
      <c r="B115" s="430">
        <v>53905100100</v>
      </c>
      <c r="C115" s="431" t="s">
        <v>107</v>
      </c>
      <c r="D115" s="432">
        <v>30000000</v>
      </c>
    </row>
    <row r="116" spans="1:7" ht="15.75" customHeight="1">
      <c r="A116" s="430">
        <v>104</v>
      </c>
      <c r="B116" s="430">
        <v>55100100100</v>
      </c>
      <c r="C116" s="431" t="s">
        <v>148</v>
      </c>
      <c r="D116" s="432">
        <v>12000000</v>
      </c>
    </row>
    <row r="117" spans="1:7">
      <c r="A117" s="430">
        <v>105</v>
      </c>
      <c r="B117" s="430">
        <v>55100100200</v>
      </c>
      <c r="C117" s="431" t="s">
        <v>108</v>
      </c>
      <c r="D117" s="432">
        <v>15000000</v>
      </c>
    </row>
    <row r="118" spans="1:7">
      <c r="A118" s="617">
        <v>106</v>
      </c>
      <c r="B118" s="617">
        <v>55200100200</v>
      </c>
      <c r="C118" s="618" t="s">
        <v>644</v>
      </c>
      <c r="D118" s="619">
        <f>1623000000-120000000</f>
        <v>1503000000</v>
      </c>
    </row>
    <row r="119" spans="1:7" ht="16.5" customHeight="1" thickBot="1">
      <c r="A119" s="304">
        <v>107</v>
      </c>
      <c r="B119" s="304">
        <v>55200200100</v>
      </c>
      <c r="C119" s="433" t="s">
        <v>109</v>
      </c>
      <c r="D119" s="434">
        <v>590000000</v>
      </c>
      <c r="G119" s="3"/>
    </row>
    <row r="120" spans="1:7" ht="16.5" thickBot="1">
      <c r="A120" s="702" t="s">
        <v>41</v>
      </c>
      <c r="B120" s="703"/>
      <c r="C120" s="704"/>
      <c r="D120" s="421">
        <f>SUM(D8:D119)</f>
        <v>70862511495.929993</v>
      </c>
      <c r="G120" s="12"/>
    </row>
    <row r="121" spans="1:7">
      <c r="C121" s="70"/>
      <c r="G121" s="12"/>
    </row>
    <row r="122" spans="1:7">
      <c r="C122" s="628" t="s">
        <v>211</v>
      </c>
      <c r="G122" s="12"/>
    </row>
    <row r="124" spans="1:7">
      <c r="C124" s="70"/>
    </row>
    <row r="125" spans="1:7">
      <c r="C125" s="70"/>
    </row>
    <row r="126" spans="1:7">
      <c r="G126" s="3"/>
    </row>
    <row r="144" spans="3:3">
      <c r="C144" s="68"/>
    </row>
    <row r="145" spans="3:3">
      <c r="C145" s="68"/>
    </row>
  </sheetData>
  <mergeCells count="5">
    <mergeCell ref="A1:D1"/>
    <mergeCell ref="A2:D2"/>
    <mergeCell ref="A120:C120"/>
    <mergeCell ref="A5:D5"/>
    <mergeCell ref="A3:D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opLeftCell="A5" workbookViewId="0">
      <selection activeCell="I17" sqref="I17"/>
    </sheetView>
  </sheetViews>
  <sheetFormatPr defaultRowHeight="15"/>
  <cols>
    <col min="1" max="1" width="5" customWidth="1"/>
    <col min="2" max="2" width="40.140625" customWidth="1"/>
    <col min="3" max="3" width="6" customWidth="1"/>
    <col min="4" max="4" width="20.85546875" customWidth="1"/>
    <col min="5" max="5" width="6.5703125" customWidth="1"/>
    <col min="6" max="6" width="21.42578125" customWidth="1"/>
    <col min="7" max="7" width="6.28515625" customWidth="1"/>
    <col min="8" max="8" width="15.28515625" customWidth="1"/>
    <col min="9" max="9" width="15.28515625" bestFit="1" customWidth="1"/>
    <col min="10" max="10" width="24.7109375" customWidth="1"/>
  </cols>
  <sheetData>
    <row r="1" spans="1:8">
      <c r="A1" s="679" t="s">
        <v>9</v>
      </c>
      <c r="B1" s="680"/>
      <c r="C1" s="680"/>
      <c r="D1" s="680"/>
      <c r="E1" s="680"/>
      <c r="F1" s="680"/>
      <c r="G1" s="680"/>
      <c r="H1" s="680"/>
    </row>
    <row r="2" spans="1:8">
      <c r="A2" s="679" t="s">
        <v>662</v>
      </c>
      <c r="B2" s="680"/>
      <c r="C2" s="680"/>
      <c r="D2" s="680"/>
      <c r="E2" s="680"/>
      <c r="F2" s="680"/>
      <c r="G2" s="680"/>
      <c r="H2" s="680"/>
    </row>
    <row r="3" spans="1:8">
      <c r="A3" s="679" t="s">
        <v>663</v>
      </c>
      <c r="B3" s="679"/>
      <c r="C3" s="679"/>
      <c r="D3" s="679"/>
      <c r="E3" s="679"/>
      <c r="F3" s="679"/>
      <c r="G3" s="679"/>
      <c r="H3" s="679"/>
    </row>
    <row r="4" spans="1:8">
      <c r="A4" s="112"/>
      <c r="B4" s="531" t="s">
        <v>5</v>
      </c>
      <c r="C4" s="531"/>
      <c r="D4" s="112"/>
      <c r="E4" s="112"/>
      <c r="F4" s="112"/>
      <c r="G4" s="112"/>
      <c r="H4" s="112"/>
    </row>
    <row r="5" spans="1:8" ht="27.75" customHeight="1">
      <c r="A5" s="144" t="s">
        <v>0</v>
      </c>
      <c r="B5" s="144" t="s">
        <v>1</v>
      </c>
      <c r="C5" s="144" t="s">
        <v>2</v>
      </c>
      <c r="D5" s="144" t="s">
        <v>304</v>
      </c>
      <c r="E5" s="144" t="s">
        <v>2</v>
      </c>
      <c r="F5" s="145" t="s">
        <v>305</v>
      </c>
      <c r="G5" s="144" t="s">
        <v>2</v>
      </c>
      <c r="H5" s="145" t="s">
        <v>303</v>
      </c>
    </row>
    <row r="6" spans="1:8" ht="14.1" customHeight="1">
      <c r="A6" s="147">
        <v>1</v>
      </c>
      <c r="B6" s="293" t="s">
        <v>673</v>
      </c>
      <c r="C6" s="147">
        <v>7</v>
      </c>
      <c r="D6" s="525">
        <f>'Personnel Details'!F11</f>
        <v>2394501372.5</v>
      </c>
      <c r="E6" s="144"/>
      <c r="F6" s="145"/>
      <c r="G6" s="144"/>
      <c r="H6" s="145"/>
    </row>
    <row r="7" spans="1:8" ht="14.1" customHeight="1">
      <c r="A7" s="147">
        <v>2</v>
      </c>
      <c r="B7" s="533" t="s">
        <v>674</v>
      </c>
      <c r="C7" s="147">
        <v>7</v>
      </c>
      <c r="D7" s="532">
        <v>88536083.760000005</v>
      </c>
      <c r="E7" s="144"/>
      <c r="F7" s="532">
        <v>0</v>
      </c>
      <c r="G7" s="144"/>
      <c r="H7" s="532">
        <v>0</v>
      </c>
    </row>
    <row r="8" spans="1:8" ht="14.1" customHeight="1">
      <c r="A8" s="147">
        <v>3</v>
      </c>
      <c r="B8" s="293" t="s">
        <v>507</v>
      </c>
      <c r="C8" s="147">
        <v>7</v>
      </c>
      <c r="D8" s="532">
        <f>'Personnel Details'!F9</f>
        <v>517788064.99000001</v>
      </c>
      <c r="E8" s="144"/>
      <c r="F8" s="532"/>
      <c r="G8" s="144"/>
      <c r="H8" s="532"/>
    </row>
    <row r="9" spans="1:8" ht="14.1" customHeight="1">
      <c r="A9" s="147">
        <v>4</v>
      </c>
      <c r="B9" s="533" t="s">
        <v>170</v>
      </c>
      <c r="C9" s="144"/>
      <c r="D9" s="532">
        <v>0</v>
      </c>
      <c r="E9" s="144"/>
      <c r="F9" s="532">
        <v>0</v>
      </c>
      <c r="G9" s="147">
        <v>8</v>
      </c>
      <c r="H9" s="534">
        <f>'Details SP'!G18</f>
        <v>6500000</v>
      </c>
    </row>
    <row r="10" spans="1:8" ht="14.1" customHeight="1">
      <c r="A10" s="147">
        <v>5</v>
      </c>
      <c r="B10" s="533" t="s">
        <v>476</v>
      </c>
      <c r="C10" s="144"/>
      <c r="D10" s="532">
        <v>0</v>
      </c>
      <c r="E10" s="144"/>
      <c r="F10" s="532">
        <v>0</v>
      </c>
      <c r="G10" s="147">
        <v>9</v>
      </c>
      <c r="H10" s="534">
        <f>'Details SP'!G52</f>
        <v>4040000</v>
      </c>
    </row>
    <row r="11" spans="1:8" ht="14.1" customHeight="1">
      <c r="A11" s="147">
        <v>6</v>
      </c>
      <c r="B11" s="533" t="s">
        <v>301</v>
      </c>
      <c r="C11" s="144"/>
      <c r="D11" s="532">
        <v>0</v>
      </c>
      <c r="E11" s="144"/>
      <c r="F11" s="532">
        <v>0</v>
      </c>
      <c r="G11" s="147">
        <v>10</v>
      </c>
      <c r="H11" s="534">
        <f>'Details SP'!G83</f>
        <v>3190000</v>
      </c>
    </row>
    <row r="12" spans="1:8" ht="14.1" customHeight="1">
      <c r="A12" s="147">
        <v>7</v>
      </c>
      <c r="B12" s="533" t="s">
        <v>498</v>
      </c>
      <c r="C12" s="144"/>
      <c r="D12" s="532">
        <v>0</v>
      </c>
      <c r="E12" s="147">
        <v>11</v>
      </c>
      <c r="F12" s="532">
        <f>'Details SP'!G112</f>
        <v>30000000</v>
      </c>
      <c r="G12" s="147"/>
      <c r="H12" s="532">
        <v>0</v>
      </c>
    </row>
    <row r="13" spans="1:8" ht="14.1" customHeight="1">
      <c r="A13" s="147">
        <v>8</v>
      </c>
      <c r="B13" s="293" t="s">
        <v>411</v>
      </c>
      <c r="C13" s="144"/>
      <c r="D13" s="532">
        <v>0</v>
      </c>
      <c r="E13" s="147">
        <v>12</v>
      </c>
      <c r="F13" s="532">
        <f>'Details SP'!G139</f>
        <v>30000000</v>
      </c>
      <c r="G13" s="147"/>
      <c r="H13" s="532">
        <v>0</v>
      </c>
    </row>
    <row r="14" spans="1:8" ht="14.1" customHeight="1">
      <c r="A14" s="147">
        <v>9</v>
      </c>
      <c r="B14" s="293" t="s">
        <v>500</v>
      </c>
      <c r="C14" s="144"/>
      <c r="D14" s="532">
        <v>0</v>
      </c>
      <c r="E14" s="147">
        <v>13</v>
      </c>
      <c r="F14" s="532">
        <f>'Details SP'!G171</f>
        <v>20000000</v>
      </c>
      <c r="G14" s="147"/>
      <c r="H14" s="532">
        <v>0</v>
      </c>
    </row>
    <row r="15" spans="1:8" ht="14.1" customHeight="1">
      <c r="A15" s="147">
        <v>10</v>
      </c>
      <c r="B15" s="293" t="s">
        <v>499</v>
      </c>
      <c r="C15" s="144"/>
      <c r="D15" s="532">
        <v>0</v>
      </c>
      <c r="E15" s="147">
        <v>14</v>
      </c>
      <c r="F15" s="532">
        <f>'Details SP'!G204</f>
        <v>4000000</v>
      </c>
      <c r="G15" s="147"/>
      <c r="H15" s="532">
        <v>0</v>
      </c>
    </row>
    <row r="16" spans="1:8" ht="14.1" customHeight="1">
      <c r="A16" s="147">
        <v>11</v>
      </c>
      <c r="B16" s="293" t="s">
        <v>8</v>
      </c>
      <c r="C16" s="144"/>
      <c r="D16" s="532">
        <v>0</v>
      </c>
      <c r="E16" s="147">
        <v>15</v>
      </c>
      <c r="F16" s="532">
        <f>'Details SP'!G266</f>
        <v>1751000000</v>
      </c>
      <c r="G16" s="147"/>
      <c r="H16" s="532">
        <v>0</v>
      </c>
    </row>
    <row r="17" spans="1:10" ht="14.1" customHeight="1">
      <c r="A17" s="147">
        <v>12</v>
      </c>
      <c r="B17" s="293" t="s">
        <v>501</v>
      </c>
      <c r="C17" s="144"/>
      <c r="D17" s="532">
        <v>0</v>
      </c>
      <c r="E17" s="147">
        <v>17</v>
      </c>
      <c r="F17" s="532">
        <f>'Details SP'!G298</f>
        <v>4000000</v>
      </c>
      <c r="G17" s="147"/>
      <c r="H17" s="532">
        <v>0</v>
      </c>
    </row>
    <row r="18" spans="1:10" ht="14.1" customHeight="1">
      <c r="A18" s="147">
        <v>13</v>
      </c>
      <c r="B18" s="293" t="s">
        <v>537</v>
      </c>
      <c r="C18" s="144"/>
      <c r="D18" s="532">
        <v>0</v>
      </c>
      <c r="E18" s="147">
        <v>18</v>
      </c>
      <c r="F18" s="532">
        <f>'Details SP'!G332</f>
        <v>210000000</v>
      </c>
      <c r="G18" s="147"/>
      <c r="H18" s="532">
        <v>0</v>
      </c>
    </row>
    <row r="19" spans="1:10" ht="14.1" customHeight="1">
      <c r="A19" s="147">
        <v>14</v>
      </c>
      <c r="B19" s="293" t="s">
        <v>350</v>
      </c>
      <c r="C19" s="144"/>
      <c r="D19" s="532">
        <v>0</v>
      </c>
      <c r="E19" s="147">
        <v>19</v>
      </c>
      <c r="F19" s="532">
        <f>'Details SP'!G371</f>
        <v>5000000</v>
      </c>
      <c r="G19" s="147"/>
      <c r="H19" s="532">
        <v>0</v>
      </c>
    </row>
    <row r="20" spans="1:10" ht="14.1" customHeight="1">
      <c r="A20" s="147">
        <v>15</v>
      </c>
      <c r="B20" s="293" t="s">
        <v>205</v>
      </c>
      <c r="C20" s="144"/>
      <c r="D20" s="532">
        <v>0</v>
      </c>
      <c r="E20" s="147">
        <v>20</v>
      </c>
      <c r="F20" s="532">
        <f>'Details SP'!G393</f>
        <v>25000000</v>
      </c>
      <c r="G20" s="147"/>
      <c r="H20" s="532">
        <v>0</v>
      </c>
    </row>
    <row r="21" spans="1:10" ht="14.1" customHeight="1">
      <c r="A21" s="147">
        <v>16</v>
      </c>
      <c r="B21" s="293" t="s">
        <v>506</v>
      </c>
      <c r="C21" s="144"/>
      <c r="D21" s="532">
        <v>0</v>
      </c>
      <c r="E21" s="147">
        <v>21</v>
      </c>
      <c r="F21" s="532">
        <f>'Details SP'!G428</f>
        <v>5000000</v>
      </c>
      <c r="G21" s="147"/>
      <c r="H21" s="532">
        <v>0</v>
      </c>
    </row>
    <row r="22" spans="1:10" ht="27" customHeight="1">
      <c r="A22" s="147">
        <v>17</v>
      </c>
      <c r="B22" s="533" t="s">
        <v>591</v>
      </c>
      <c r="C22" s="144"/>
      <c r="D22" s="532">
        <v>0</v>
      </c>
      <c r="E22" s="147">
        <v>22</v>
      </c>
      <c r="F22" s="532">
        <f>'Details SP'!G467</f>
        <v>115000000</v>
      </c>
      <c r="G22" s="147"/>
      <c r="H22" s="532">
        <v>0</v>
      </c>
    </row>
    <row r="23" spans="1:10" ht="14.1" customHeight="1">
      <c r="A23" s="147">
        <v>18</v>
      </c>
      <c r="B23" s="293" t="s">
        <v>371</v>
      </c>
      <c r="C23" s="144"/>
      <c r="D23" s="532">
        <v>0</v>
      </c>
      <c r="E23" s="147">
        <v>24</v>
      </c>
      <c r="F23" s="532">
        <f>'Details SP'!G540</f>
        <v>1500000</v>
      </c>
      <c r="G23" s="147"/>
      <c r="H23" s="532">
        <v>0</v>
      </c>
    </row>
    <row r="24" spans="1:10" ht="14.1" customHeight="1">
      <c r="A24" s="147">
        <v>19</v>
      </c>
      <c r="B24" s="293" t="s">
        <v>502</v>
      </c>
      <c r="C24" s="144"/>
      <c r="D24" s="532">
        <v>0</v>
      </c>
      <c r="E24" s="147">
        <v>26</v>
      </c>
      <c r="F24" s="532">
        <f>'Details SP'!G575</f>
        <v>198000000</v>
      </c>
      <c r="G24" s="147"/>
      <c r="H24" s="532">
        <v>0</v>
      </c>
    </row>
    <row r="25" spans="1:10" ht="14.1" customHeight="1">
      <c r="A25" s="147">
        <v>20</v>
      </c>
      <c r="B25" s="293" t="s">
        <v>349</v>
      </c>
      <c r="C25" s="144"/>
      <c r="D25" s="532">
        <v>0</v>
      </c>
      <c r="E25" s="147">
        <v>27</v>
      </c>
      <c r="F25" s="532">
        <f>'Details SP'!G590</f>
        <v>11000000</v>
      </c>
      <c r="G25" s="147"/>
      <c r="H25" s="532">
        <v>0</v>
      </c>
    </row>
    <row r="26" spans="1:10" ht="14.1" customHeight="1">
      <c r="A26" s="147">
        <v>21</v>
      </c>
      <c r="B26" s="293" t="s">
        <v>693</v>
      </c>
      <c r="C26" s="144"/>
      <c r="D26" s="532"/>
      <c r="E26" s="147">
        <v>28</v>
      </c>
      <c r="F26" s="532">
        <f>'Details SP'!G621</f>
        <v>15000000</v>
      </c>
      <c r="G26" s="147"/>
      <c r="H26" s="532"/>
    </row>
    <row r="27" spans="1:10" ht="14.1" customHeight="1">
      <c r="A27" s="147">
        <v>22</v>
      </c>
      <c r="B27" s="293" t="s">
        <v>503</v>
      </c>
      <c r="C27" s="144"/>
      <c r="D27" s="532">
        <v>0</v>
      </c>
      <c r="E27" s="147">
        <v>29</v>
      </c>
      <c r="F27" s="532">
        <f>'Details SP'!G666</f>
        <v>89000000</v>
      </c>
      <c r="G27" s="147"/>
      <c r="H27" s="532">
        <v>0</v>
      </c>
    </row>
    <row r="28" spans="1:10" ht="27" customHeight="1">
      <c r="A28" s="147">
        <v>23</v>
      </c>
      <c r="B28" s="533" t="s">
        <v>504</v>
      </c>
      <c r="C28" s="144"/>
      <c r="D28" s="532">
        <v>0</v>
      </c>
      <c r="E28" s="147">
        <v>30</v>
      </c>
      <c r="F28" s="532">
        <f>'Details SP'!G679</f>
        <v>8000000</v>
      </c>
      <c r="G28" s="147"/>
      <c r="H28" s="532">
        <v>0</v>
      </c>
      <c r="J28" s="3"/>
    </row>
    <row r="29" spans="1:10" ht="15" customHeight="1">
      <c r="A29" s="147">
        <v>24</v>
      </c>
      <c r="B29" s="148" t="s">
        <v>181</v>
      </c>
      <c r="C29" s="173"/>
      <c r="D29" s="532">
        <v>0</v>
      </c>
      <c r="E29" s="147">
        <v>31</v>
      </c>
      <c r="F29" s="532">
        <f>'Details SP'!G715</f>
        <v>7065669000</v>
      </c>
      <c r="G29" s="147"/>
      <c r="H29" s="532">
        <v>0</v>
      </c>
      <c r="J29" s="6"/>
    </row>
    <row r="30" spans="1:10" ht="15" customHeight="1">
      <c r="A30" s="147">
        <v>25</v>
      </c>
      <c r="B30" s="148" t="s">
        <v>505</v>
      </c>
      <c r="C30" s="173"/>
      <c r="D30" s="532">
        <v>0</v>
      </c>
      <c r="E30" s="147">
        <v>32</v>
      </c>
      <c r="F30" s="532">
        <f>'Details SP'!G756</f>
        <v>1763270000</v>
      </c>
      <c r="G30" s="147"/>
      <c r="H30" s="532">
        <v>0</v>
      </c>
      <c r="J30" s="6"/>
    </row>
    <row r="31" spans="1:10" ht="17.100000000000001" customHeight="1">
      <c r="A31" s="147"/>
      <c r="B31" s="535" t="s">
        <v>3</v>
      </c>
      <c r="C31" s="536"/>
      <c r="D31" s="537">
        <f>SUM(D6:D30)</f>
        <v>3000825521.25</v>
      </c>
      <c r="E31" s="144"/>
      <c r="F31" s="538">
        <f>SUM(F7:F30)</f>
        <v>11350439000</v>
      </c>
      <c r="G31" s="173"/>
      <c r="H31" s="539">
        <f>SUM(H7:H30)</f>
        <v>13730000</v>
      </c>
      <c r="I31" s="4"/>
      <c r="J31" s="8"/>
    </row>
    <row r="32" spans="1:10" ht="13.5" customHeight="1">
      <c r="A32" s="173"/>
      <c r="B32" s="535" t="s">
        <v>4</v>
      </c>
      <c r="C32" s="536"/>
      <c r="D32" s="540"/>
      <c r="E32" s="540"/>
      <c r="F32" s="540">
        <f>D31+F31+H31</f>
        <v>14364994521.25</v>
      </c>
      <c r="G32" s="541"/>
      <c r="H32" s="542"/>
      <c r="I32" s="3"/>
    </row>
    <row r="33" spans="1:8" ht="18.75">
      <c r="A33" s="1"/>
      <c r="B33" s="1"/>
      <c r="C33" s="1"/>
      <c r="D33" s="1"/>
      <c r="E33" s="1"/>
      <c r="F33" s="1"/>
      <c r="G33" s="1"/>
      <c r="H33" s="2"/>
    </row>
    <row r="34" spans="1:8" ht="18.75">
      <c r="A34" s="1"/>
      <c r="B34" s="1"/>
      <c r="C34" s="1"/>
      <c r="D34" s="1"/>
      <c r="E34" s="1"/>
      <c r="F34" s="1"/>
      <c r="G34" s="2"/>
      <c r="H34" s="2"/>
    </row>
    <row r="35" spans="1:8" ht="18.75">
      <c r="A35" s="1"/>
      <c r="B35" s="1"/>
      <c r="C35" s="1"/>
      <c r="D35" s="1"/>
      <c r="E35" s="1"/>
      <c r="F35" s="1"/>
      <c r="G35" s="1"/>
      <c r="H35" s="2"/>
    </row>
    <row r="36" spans="1:8" ht="18.75">
      <c r="A36" s="1"/>
      <c r="B36" s="1"/>
      <c r="C36" s="1"/>
      <c r="D36" s="1"/>
      <c r="E36" s="1"/>
      <c r="F36" s="1"/>
      <c r="G36" s="1"/>
      <c r="H36" s="2"/>
    </row>
    <row r="37" spans="1:8" ht="18.75">
      <c r="A37" s="1"/>
      <c r="B37" s="1"/>
      <c r="C37" s="1"/>
      <c r="D37" s="1"/>
      <c r="E37" s="1"/>
      <c r="F37" s="1"/>
      <c r="G37" s="1"/>
      <c r="H37" s="1"/>
    </row>
  </sheetData>
  <mergeCells count="3">
    <mergeCell ref="A1:H1"/>
    <mergeCell ref="A2:H2"/>
    <mergeCell ref="A3:H3"/>
  </mergeCells>
  <pageMargins left="0.7" right="0.7" top="0.75" bottom="0.75" header="0.3" footer="0.3"/>
  <pageSetup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topLeftCell="A5" workbookViewId="0">
      <selection activeCell="E12" sqref="E12"/>
    </sheetView>
  </sheetViews>
  <sheetFormatPr defaultRowHeight="15"/>
  <cols>
    <col min="1" max="1" width="5" customWidth="1"/>
    <col min="2" max="2" width="55.42578125" customWidth="1"/>
    <col min="3" max="3" width="12.28515625" customWidth="1"/>
    <col min="4" max="4" width="26.28515625" customWidth="1"/>
    <col min="5" max="5" width="15.28515625" bestFit="1" customWidth="1"/>
    <col min="6" max="6" width="24.7109375" customWidth="1"/>
  </cols>
  <sheetData>
    <row r="1" spans="1:6" ht="16.5">
      <c r="A1" s="112"/>
      <c r="B1" s="142" t="s">
        <v>302</v>
      </c>
      <c r="C1" s="112"/>
      <c r="D1" s="112"/>
    </row>
    <row r="2" spans="1:6" ht="16.5">
      <c r="A2" s="112"/>
      <c r="B2" s="142" t="s">
        <v>508</v>
      </c>
      <c r="C2" s="112"/>
      <c r="D2" s="112"/>
    </row>
    <row r="3" spans="1:6" ht="16.5">
      <c r="A3" s="112"/>
      <c r="B3" s="143" t="s">
        <v>6</v>
      </c>
      <c r="C3" s="112"/>
      <c r="D3" s="112"/>
    </row>
    <row r="4" spans="1:6" ht="16.5">
      <c r="A4" s="112"/>
      <c r="B4" s="143" t="s">
        <v>7</v>
      </c>
      <c r="C4" s="112"/>
      <c r="D4" s="112"/>
    </row>
    <row r="5" spans="1:6">
      <c r="A5" s="149" t="s">
        <v>0</v>
      </c>
      <c r="B5" s="149" t="s">
        <v>1</v>
      </c>
      <c r="C5" s="149" t="s">
        <v>2</v>
      </c>
      <c r="D5" s="223" t="s">
        <v>509</v>
      </c>
    </row>
    <row r="6" spans="1:6" ht="21.95" customHeight="1">
      <c r="A6" s="115">
        <v>1</v>
      </c>
      <c r="B6" s="294" t="s">
        <v>299</v>
      </c>
      <c r="C6" s="485">
        <v>37</v>
      </c>
      <c r="D6" s="295">
        <f>'Project detail capital'!F9</f>
        <v>150000000</v>
      </c>
    </row>
    <row r="7" spans="1:6" ht="21.95" customHeight="1">
      <c r="A7" s="115">
        <v>2</v>
      </c>
      <c r="B7" s="146" t="s">
        <v>170</v>
      </c>
      <c r="C7" s="485">
        <v>37</v>
      </c>
      <c r="D7" s="295">
        <f>'Project detail capital'!F15</f>
        <v>34000000</v>
      </c>
    </row>
    <row r="8" spans="1:6" ht="21.95" customHeight="1">
      <c r="A8" s="115">
        <v>3</v>
      </c>
      <c r="B8" s="146" t="s">
        <v>769</v>
      </c>
      <c r="C8" s="485">
        <v>37</v>
      </c>
      <c r="D8" s="295">
        <f>'Project detail capital'!F19</f>
        <v>35000000</v>
      </c>
    </row>
    <row r="9" spans="1:6" ht="21.95" customHeight="1">
      <c r="A9" s="115">
        <v>4</v>
      </c>
      <c r="B9" s="296" t="s">
        <v>511</v>
      </c>
      <c r="C9" s="485">
        <v>37</v>
      </c>
      <c r="D9" s="295">
        <f>'Project detail capital'!F23</f>
        <v>23000000</v>
      </c>
    </row>
    <row r="10" spans="1:6" ht="21.95" customHeight="1">
      <c r="A10" s="115">
        <v>5</v>
      </c>
      <c r="B10" s="297" t="s">
        <v>799</v>
      </c>
      <c r="C10" s="485">
        <v>37</v>
      </c>
      <c r="D10" s="295">
        <f>'Project detail capital'!F27</f>
        <v>8300000</v>
      </c>
    </row>
    <row r="11" spans="1:6" ht="21.95" customHeight="1">
      <c r="A11" s="115">
        <v>6</v>
      </c>
      <c r="B11" s="358" t="s">
        <v>553</v>
      </c>
      <c r="C11" s="485">
        <v>37</v>
      </c>
      <c r="D11" s="295">
        <f>'Project detail capital'!F30</f>
        <v>12500000</v>
      </c>
      <c r="F11" s="5"/>
    </row>
    <row r="12" spans="1:6" ht="21.95" customHeight="1">
      <c r="A12" s="115">
        <v>7</v>
      </c>
      <c r="B12" s="296" t="s">
        <v>8</v>
      </c>
      <c r="C12" s="485">
        <v>38</v>
      </c>
      <c r="D12" s="295">
        <f>'Project detail capital'!F35</f>
        <v>3500000</v>
      </c>
      <c r="F12" s="5"/>
    </row>
    <row r="13" spans="1:6" ht="21.95" customHeight="1">
      <c r="A13" s="115">
        <v>8</v>
      </c>
      <c r="B13" s="296" t="s">
        <v>300</v>
      </c>
      <c r="C13" s="485">
        <v>38</v>
      </c>
      <c r="D13" s="295">
        <f>'Project detail capital'!F41</f>
        <v>284000000</v>
      </c>
      <c r="F13" s="5"/>
    </row>
    <row r="14" spans="1:6" ht="21.95" customHeight="1">
      <c r="A14" s="115">
        <v>9</v>
      </c>
      <c r="B14" s="358" t="s">
        <v>658</v>
      </c>
      <c r="C14" s="485">
        <v>38</v>
      </c>
      <c r="D14" s="295">
        <f>'Project detail capital'!F44</f>
        <v>400000000</v>
      </c>
      <c r="F14" s="5"/>
    </row>
    <row r="15" spans="1:6" ht="21.95" customHeight="1">
      <c r="A15" s="115">
        <v>10</v>
      </c>
      <c r="B15" s="297" t="s">
        <v>516</v>
      </c>
      <c r="C15" s="485">
        <v>38</v>
      </c>
      <c r="D15" s="295">
        <f>'Project detail capital'!F48</f>
        <v>1000000000</v>
      </c>
      <c r="F15" s="5"/>
    </row>
    <row r="16" spans="1:6" ht="21.95" customHeight="1">
      <c r="A16" s="115">
        <v>11</v>
      </c>
      <c r="B16" s="358" t="s">
        <v>610</v>
      </c>
      <c r="C16" s="485">
        <v>38</v>
      </c>
      <c r="D16" s="295">
        <f>'Project detail capital'!F52</f>
        <v>190000000</v>
      </c>
      <c r="F16" s="5"/>
    </row>
    <row r="17" spans="1:6" ht="21.95" customHeight="1">
      <c r="A17" s="115">
        <v>12</v>
      </c>
      <c r="B17" s="297" t="s">
        <v>515</v>
      </c>
      <c r="C17" s="485">
        <v>38</v>
      </c>
      <c r="D17" s="295">
        <f>'Project detail capital'!F56</f>
        <v>50000000</v>
      </c>
      <c r="F17" s="5"/>
    </row>
    <row r="18" spans="1:6" ht="21.95" customHeight="1">
      <c r="A18" s="115">
        <v>13</v>
      </c>
      <c r="B18" s="297" t="s">
        <v>761</v>
      </c>
      <c r="C18" s="485">
        <v>38</v>
      </c>
      <c r="D18" s="295">
        <f>'Project detail capital'!F60</f>
        <v>400000000</v>
      </c>
      <c r="F18" s="5"/>
    </row>
    <row r="19" spans="1:6" ht="21.95" customHeight="1">
      <c r="A19" s="115">
        <v>14</v>
      </c>
      <c r="B19" s="297" t="s">
        <v>762</v>
      </c>
      <c r="C19" s="485">
        <v>39</v>
      </c>
      <c r="D19" s="295">
        <f>'Project detail capital'!F63</f>
        <v>100000000</v>
      </c>
      <c r="F19" s="5"/>
    </row>
    <row r="20" spans="1:6" ht="21.95" customHeight="1">
      <c r="A20" s="115">
        <v>15</v>
      </c>
      <c r="B20" s="297" t="s">
        <v>524</v>
      </c>
      <c r="C20" s="485">
        <v>39</v>
      </c>
      <c r="D20" s="295">
        <f>'Project detail capital'!F69</f>
        <v>40000000</v>
      </c>
      <c r="F20" s="5"/>
    </row>
    <row r="21" spans="1:6" ht="21.95" customHeight="1">
      <c r="A21" s="115">
        <v>16</v>
      </c>
      <c r="B21" s="484" t="s">
        <v>510</v>
      </c>
      <c r="C21" s="485">
        <v>39</v>
      </c>
      <c r="D21" s="301">
        <f>'Project detail capital'!F73</f>
        <v>267926261.93000001</v>
      </c>
      <c r="F21" s="5"/>
    </row>
    <row r="22" spans="1:6" ht="21.95" customHeight="1">
      <c r="A22" s="115">
        <v>17</v>
      </c>
      <c r="B22" s="484" t="s">
        <v>517</v>
      </c>
      <c r="C22" s="485">
        <v>39</v>
      </c>
      <c r="D22" s="301">
        <f>'Project detail capital'!F77</f>
        <v>16600000</v>
      </c>
      <c r="F22" s="5"/>
    </row>
    <row r="23" spans="1:6" ht="21.95" customHeight="1">
      <c r="A23" s="115">
        <v>18</v>
      </c>
      <c r="B23" s="484" t="s">
        <v>693</v>
      </c>
      <c r="C23" s="485">
        <v>39</v>
      </c>
      <c r="D23" s="301">
        <f>'Project detail capital'!F81</f>
        <v>66000000</v>
      </c>
      <c r="F23" s="5"/>
    </row>
    <row r="24" spans="1:6" ht="21.95" customHeight="1">
      <c r="A24" s="147"/>
      <c r="B24" s="298" t="s">
        <v>3</v>
      </c>
      <c r="C24" s="144"/>
      <c r="D24" s="299">
        <f>SUM(D6:D23)</f>
        <v>3080826261.9299998</v>
      </c>
      <c r="E24" s="4"/>
      <c r="F24" s="7"/>
    </row>
    <row r="25" spans="1:6" ht="18.75">
      <c r="A25" s="300"/>
      <c r="B25" s="300"/>
      <c r="C25" s="300"/>
      <c r="D25" s="300"/>
    </row>
    <row r="26" spans="1:6" ht="18.75">
      <c r="A26" s="300"/>
      <c r="B26" s="300"/>
      <c r="C26" s="629">
        <v>3</v>
      </c>
      <c r="D26" s="300"/>
    </row>
    <row r="27" spans="1:6" ht="18.75">
      <c r="A27" s="300"/>
      <c r="B27" s="300"/>
      <c r="C27" s="300"/>
      <c r="D27" s="300"/>
    </row>
    <row r="28" spans="1:6" ht="18.75">
      <c r="A28" s="1"/>
      <c r="B28" s="1"/>
      <c r="C28" s="1"/>
      <c r="D28" s="1"/>
    </row>
    <row r="29" spans="1:6" ht="18.75">
      <c r="A29" s="1"/>
      <c r="B29" s="1"/>
      <c r="C29" s="1"/>
      <c r="D29" s="1"/>
    </row>
  </sheetData>
  <sortState ref="B6:D18">
    <sortCondition ref="C6:C18"/>
  </sortState>
  <pageMargins left="1.7" right="0.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J12" sqref="J12"/>
    </sheetView>
  </sheetViews>
  <sheetFormatPr defaultRowHeight="15"/>
  <cols>
    <col min="1" max="1" width="4" customWidth="1"/>
    <col min="2" max="2" width="23" customWidth="1"/>
    <col min="3" max="3" width="6.28515625" style="33" customWidth="1"/>
    <col min="4" max="4" width="10.85546875" style="33" customWidth="1"/>
    <col min="5" max="5" width="26" customWidth="1"/>
    <col min="6" max="7" width="15.5703125" customWidth="1"/>
    <col min="8" max="8" width="15" customWidth="1"/>
    <col min="9" max="9" width="14.42578125" customWidth="1"/>
    <col min="10" max="10" width="15" bestFit="1" customWidth="1"/>
    <col min="13" max="13" width="10" bestFit="1" customWidth="1"/>
  </cols>
  <sheetData>
    <row r="1" spans="1:9">
      <c r="A1" s="679" t="s">
        <v>9</v>
      </c>
      <c r="B1" s="679"/>
      <c r="C1" s="679"/>
      <c r="D1" s="679"/>
      <c r="E1" s="679"/>
      <c r="F1" s="679"/>
      <c r="G1" s="679"/>
      <c r="H1" s="679"/>
      <c r="I1" s="679"/>
    </row>
    <row r="2" spans="1:9">
      <c r="A2" s="679" t="s">
        <v>664</v>
      </c>
      <c r="B2" s="681"/>
      <c r="C2" s="681"/>
      <c r="D2" s="681"/>
      <c r="E2" s="681"/>
      <c r="F2" s="681"/>
      <c r="G2" s="681"/>
      <c r="H2" s="681"/>
      <c r="I2" s="681"/>
    </row>
    <row r="3" spans="1:9">
      <c r="A3" s="679" t="s">
        <v>653</v>
      </c>
      <c r="B3" s="679"/>
      <c r="C3" s="679"/>
      <c r="D3" s="679"/>
      <c r="E3" s="679"/>
      <c r="F3" s="679"/>
      <c r="G3" s="679"/>
      <c r="H3" s="679"/>
      <c r="I3" s="679"/>
    </row>
    <row r="4" spans="1:9">
      <c r="A4" s="112"/>
      <c r="B4" s="89"/>
      <c r="C4" s="89"/>
      <c r="D4" s="89"/>
      <c r="E4" s="89"/>
      <c r="F4" s="89"/>
      <c r="G4" s="89"/>
      <c r="H4" s="112"/>
      <c r="I4" s="112"/>
    </row>
    <row r="5" spans="1:9">
      <c r="A5" s="682" t="s">
        <v>154</v>
      </c>
      <c r="B5" s="682"/>
      <c r="C5" s="682"/>
      <c r="D5" s="682"/>
      <c r="E5" s="682"/>
      <c r="F5" s="682"/>
      <c r="G5" s="682"/>
      <c r="H5" s="682"/>
      <c r="I5" s="682"/>
    </row>
    <row r="6" spans="1:9" s="33" customFormat="1" ht="26.1" customHeight="1">
      <c r="A6" s="122" t="s">
        <v>0</v>
      </c>
      <c r="B6" s="122" t="s">
        <v>171</v>
      </c>
      <c r="C6" s="122" t="s">
        <v>2</v>
      </c>
      <c r="D6" s="121" t="s">
        <v>20</v>
      </c>
      <c r="E6" s="122" t="s">
        <v>31</v>
      </c>
      <c r="F6" s="121" t="s">
        <v>214</v>
      </c>
      <c r="G6" s="121" t="s">
        <v>538</v>
      </c>
      <c r="H6" s="121" t="s">
        <v>32</v>
      </c>
      <c r="I6" s="121" t="s">
        <v>213</v>
      </c>
    </row>
    <row r="7" spans="1:9" s="35" customFormat="1" ht="23.1" customHeight="1">
      <c r="A7" s="115">
        <v>1</v>
      </c>
      <c r="B7" s="115">
        <v>2</v>
      </c>
      <c r="C7" s="275">
        <v>3</v>
      </c>
      <c r="D7" s="198" t="s">
        <v>23</v>
      </c>
      <c r="E7" s="188">
        <v>5</v>
      </c>
      <c r="F7" s="199">
        <v>6</v>
      </c>
      <c r="G7" s="199" t="s">
        <v>25</v>
      </c>
      <c r="H7" s="200">
        <v>8</v>
      </c>
      <c r="I7" s="200" t="s">
        <v>33</v>
      </c>
    </row>
    <row r="8" spans="1:9" s="35" customFormat="1" ht="23.1" customHeight="1">
      <c r="A8" s="276">
        <v>1</v>
      </c>
      <c r="B8" s="543" t="s">
        <v>205</v>
      </c>
      <c r="C8" s="275"/>
      <c r="D8" s="303"/>
      <c r="E8" s="544" t="s">
        <v>13</v>
      </c>
      <c r="F8" s="386">
        <v>1412662585.4100001</v>
      </c>
      <c r="G8" s="371">
        <v>710560448.14999998</v>
      </c>
      <c r="H8" s="305">
        <v>220488051.22999999</v>
      </c>
      <c r="I8" s="277">
        <f>F8-H8</f>
        <v>1192174534.1800001</v>
      </c>
    </row>
    <row r="9" spans="1:9" s="35" customFormat="1" ht="39.75" customHeight="1">
      <c r="A9" s="276">
        <v>2</v>
      </c>
      <c r="B9" s="404" t="s">
        <v>670</v>
      </c>
      <c r="C9" s="147"/>
      <c r="D9" s="524"/>
      <c r="E9" s="146" t="s">
        <v>13</v>
      </c>
      <c r="F9" s="228">
        <v>194071777.28999999</v>
      </c>
      <c r="G9" s="230">
        <v>0</v>
      </c>
      <c r="H9" s="525">
        <v>45502718.189999998</v>
      </c>
      <c r="I9" s="388">
        <f>F9-H9</f>
        <v>148569059.09999999</v>
      </c>
    </row>
    <row r="10" spans="1:9" s="7" customFormat="1" ht="21" customHeight="1" thickBot="1">
      <c r="A10" s="115">
        <v>3</v>
      </c>
      <c r="B10" s="523"/>
      <c r="C10" s="147"/>
      <c r="D10" s="524"/>
      <c r="E10" s="545" t="s">
        <v>513</v>
      </c>
      <c r="F10" s="228">
        <v>657957311.25</v>
      </c>
      <c r="G10" s="230">
        <v>0</v>
      </c>
      <c r="H10" s="525">
        <f>596113672.58+25000000</f>
        <v>621113672.58000004</v>
      </c>
      <c r="I10" s="388">
        <f>F10-H10</f>
        <v>36843638.669999957</v>
      </c>
    </row>
    <row r="11" spans="1:9" ht="15.75" customHeight="1" thickBot="1">
      <c r="A11" s="195"/>
      <c r="B11" s="193"/>
      <c r="C11" s="193"/>
      <c r="D11" s="193"/>
      <c r="E11" s="306" t="s">
        <v>514</v>
      </c>
      <c r="F11" s="292">
        <f>SUM(F8:F10)</f>
        <v>2264691673.9499998</v>
      </c>
      <c r="G11" s="292">
        <f>SUM(G8:G10)</f>
        <v>710560448.14999998</v>
      </c>
      <c r="H11" s="292">
        <f>SUM(H8:H10)</f>
        <v>887104442</v>
      </c>
      <c r="I11" s="292">
        <f>SUM(I8:I10)</f>
        <v>1377587231.9499998</v>
      </c>
    </row>
    <row r="12" spans="1:9" ht="15.75" thickBot="1">
      <c r="A12" s="278"/>
      <c r="B12" s="279"/>
      <c r="C12" s="280"/>
      <c r="D12" s="280"/>
      <c r="E12" s="187" t="s">
        <v>34</v>
      </c>
      <c r="F12" s="281">
        <f>SUM(F11)</f>
        <v>2264691673.9499998</v>
      </c>
      <c r="G12" s="281">
        <f>SUM(G11)</f>
        <v>710560448.14999998</v>
      </c>
      <c r="H12" s="281">
        <f>SUM(H11)</f>
        <v>887104442</v>
      </c>
      <c r="I12" s="522">
        <f>SUM(I11)</f>
        <v>1377587231.9499998</v>
      </c>
    </row>
    <row r="19" spans="5:12">
      <c r="E19" s="3"/>
      <c r="L19" s="289"/>
    </row>
    <row r="29" spans="5:12">
      <c r="E29">
        <v>4</v>
      </c>
    </row>
  </sheetData>
  <mergeCells count="4">
    <mergeCell ref="A1:I1"/>
    <mergeCell ref="A2:I2"/>
    <mergeCell ref="A5:I5"/>
    <mergeCell ref="A3:I3"/>
  </mergeCells>
  <pageMargins left="0.13" right="0.13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1"/>
  <sheetViews>
    <sheetView topLeftCell="A27" workbookViewId="0">
      <selection activeCell="I37" sqref="I37"/>
    </sheetView>
  </sheetViews>
  <sheetFormatPr defaultRowHeight="15"/>
  <cols>
    <col min="1" max="1" width="4.7109375" customWidth="1"/>
    <col min="2" max="2" width="23" customWidth="1"/>
    <col min="3" max="3" width="6.28515625" style="33" customWidth="1"/>
    <col min="4" max="4" width="10.140625" style="33" customWidth="1"/>
    <col min="5" max="5" width="26.42578125" customWidth="1"/>
    <col min="6" max="6" width="13.28515625" customWidth="1"/>
    <col min="7" max="7" width="13.140625" customWidth="1"/>
    <col min="8" max="8" width="13.5703125" customWidth="1"/>
    <col min="9" max="9" width="13" customWidth="1"/>
    <col min="10" max="10" width="15" bestFit="1" customWidth="1"/>
  </cols>
  <sheetData>
    <row r="1" spans="1:9">
      <c r="A1" s="679" t="s">
        <v>9</v>
      </c>
      <c r="B1" s="679"/>
      <c r="C1" s="679"/>
      <c r="D1" s="679"/>
      <c r="E1" s="679"/>
      <c r="F1" s="679"/>
      <c r="G1" s="679"/>
      <c r="H1" s="679"/>
      <c r="I1" s="679"/>
    </row>
    <row r="2" spans="1:9">
      <c r="A2" s="679" t="s">
        <v>664</v>
      </c>
      <c r="B2" s="681"/>
      <c r="C2" s="681"/>
      <c r="D2" s="681"/>
      <c r="E2" s="681"/>
      <c r="F2" s="681"/>
      <c r="G2" s="681"/>
      <c r="H2" s="681"/>
      <c r="I2" s="681"/>
    </row>
    <row r="3" spans="1:9">
      <c r="A3" s="679" t="s">
        <v>654</v>
      </c>
      <c r="B3" s="679"/>
      <c r="C3" s="679"/>
      <c r="D3" s="679"/>
      <c r="E3" s="679"/>
      <c r="F3" s="679"/>
      <c r="G3" s="679"/>
      <c r="H3" s="679"/>
      <c r="I3" s="679"/>
    </row>
    <row r="4" spans="1:9">
      <c r="A4" s="112"/>
      <c r="B4" s="89"/>
      <c r="C4" s="89"/>
      <c r="D4" s="89"/>
      <c r="E4" s="89"/>
      <c r="F4" s="89"/>
      <c r="G4" s="89"/>
      <c r="H4" s="112"/>
      <c r="I4" s="112"/>
    </row>
    <row r="5" spans="1:9">
      <c r="A5" s="682" t="s">
        <v>655</v>
      </c>
      <c r="B5" s="682"/>
      <c r="C5" s="682"/>
      <c r="D5" s="682"/>
      <c r="E5" s="682"/>
      <c r="F5" s="682"/>
      <c r="G5" s="682"/>
      <c r="H5" s="682"/>
      <c r="I5" s="682"/>
    </row>
    <row r="6" spans="1:9" s="33" customFormat="1" ht="26.1" customHeight="1">
      <c r="A6" s="346" t="s">
        <v>0</v>
      </c>
      <c r="B6" s="346" t="s">
        <v>171</v>
      </c>
      <c r="C6" s="346" t="s">
        <v>2</v>
      </c>
      <c r="D6" s="274" t="s">
        <v>20</v>
      </c>
      <c r="E6" s="346" t="s">
        <v>31</v>
      </c>
      <c r="F6" s="274" t="s">
        <v>214</v>
      </c>
      <c r="G6" s="274" t="s">
        <v>538</v>
      </c>
      <c r="H6" s="274" t="s">
        <v>32</v>
      </c>
      <c r="I6" s="274" t="s">
        <v>213</v>
      </c>
    </row>
    <row r="7" spans="1:9" s="35" customFormat="1" ht="23.1" customHeight="1">
      <c r="A7" s="347">
        <v>1</v>
      </c>
      <c r="B7" s="347">
        <v>2</v>
      </c>
      <c r="C7" s="348">
        <v>3</v>
      </c>
      <c r="D7" s="349" t="s">
        <v>23</v>
      </c>
      <c r="E7" s="350">
        <v>5</v>
      </c>
      <c r="F7" s="351">
        <v>6</v>
      </c>
      <c r="G7" s="351" t="s">
        <v>25</v>
      </c>
      <c r="H7" s="349">
        <v>8</v>
      </c>
      <c r="I7" s="349" t="s">
        <v>33</v>
      </c>
    </row>
    <row r="8" spans="1:9" s="7" customFormat="1" ht="13.5" customHeight="1">
      <c r="A8" s="347"/>
      <c r="B8" s="185"/>
      <c r="C8" s="347"/>
      <c r="D8" s="332"/>
      <c r="E8" s="134"/>
      <c r="F8" s="352"/>
      <c r="G8" s="352"/>
      <c r="H8" s="353"/>
      <c r="I8" s="353"/>
    </row>
    <row r="9" spans="1:9" s="7" customFormat="1" ht="13.5" customHeight="1">
      <c r="A9" s="347">
        <v>1</v>
      </c>
      <c r="B9" s="185" t="s">
        <v>69</v>
      </c>
      <c r="C9" s="347">
        <v>86</v>
      </c>
      <c r="D9" s="91">
        <v>22100377</v>
      </c>
      <c r="E9" s="91" t="s">
        <v>260</v>
      </c>
      <c r="F9" s="364">
        <v>300120000</v>
      </c>
      <c r="G9" s="354">
        <v>0</v>
      </c>
      <c r="H9" s="364">
        <v>200000000</v>
      </c>
      <c r="I9" s="353">
        <f>F9-H9</f>
        <v>100120000</v>
      </c>
    </row>
    <row r="10" spans="1:9" s="7" customFormat="1" ht="13.5" customHeight="1">
      <c r="A10" s="347"/>
      <c r="B10" s="141"/>
      <c r="C10" s="347"/>
      <c r="D10" s="332"/>
      <c r="E10" s="185" t="s">
        <v>448</v>
      </c>
      <c r="F10" s="354">
        <f>SUM(F9)</f>
        <v>300120000</v>
      </c>
      <c r="G10" s="354">
        <f>SUM(G9)</f>
        <v>0</v>
      </c>
      <c r="H10" s="354">
        <f>SUM(H9)</f>
        <v>200000000</v>
      </c>
      <c r="I10" s="354">
        <f>SUM(I9)</f>
        <v>100120000</v>
      </c>
    </row>
    <row r="11" spans="1:9" s="7" customFormat="1" ht="14.25" customHeight="1">
      <c r="A11" s="347"/>
      <c r="B11" s="141"/>
      <c r="C11" s="347"/>
      <c r="D11" s="332"/>
      <c r="E11" s="185"/>
      <c r="F11" s="354"/>
      <c r="G11" s="354"/>
      <c r="H11" s="354"/>
      <c r="I11" s="354"/>
    </row>
    <row r="12" spans="1:9" s="7" customFormat="1" ht="25.5" customHeight="1" thickBot="1">
      <c r="A12" s="348">
        <v>2</v>
      </c>
      <c r="B12" s="201" t="s">
        <v>77</v>
      </c>
      <c r="C12" s="348">
        <v>89</v>
      </c>
      <c r="D12" s="494" t="s">
        <v>688</v>
      </c>
      <c r="E12" s="202" t="s">
        <v>327</v>
      </c>
      <c r="F12" s="487">
        <v>30000000</v>
      </c>
      <c r="G12" s="246">
        <v>2261000</v>
      </c>
      <c r="H12" s="487">
        <v>20000000</v>
      </c>
      <c r="I12" s="361">
        <f>F12-H12</f>
        <v>10000000</v>
      </c>
    </row>
    <row r="13" spans="1:9" s="7" customFormat="1" ht="26.25" customHeight="1" thickBot="1">
      <c r="A13" s="489"/>
      <c r="B13" s="140"/>
      <c r="C13" s="490"/>
      <c r="D13" s="491"/>
      <c r="E13" s="140" t="s">
        <v>326</v>
      </c>
      <c r="F13" s="492">
        <f>SUM(F12)</f>
        <v>30000000</v>
      </c>
      <c r="G13" s="492">
        <f>SUM(G12)</f>
        <v>2261000</v>
      </c>
      <c r="H13" s="492">
        <f>SUM(H12)</f>
        <v>20000000</v>
      </c>
      <c r="I13" s="493">
        <f>SUM(I12)</f>
        <v>10000000</v>
      </c>
    </row>
    <row r="14" spans="1:9" s="7" customFormat="1" ht="13.5" customHeight="1">
      <c r="A14" s="355"/>
      <c r="B14" s="212"/>
      <c r="C14" s="355"/>
      <c r="D14" s="322"/>
      <c r="E14" s="212"/>
      <c r="F14" s="488"/>
      <c r="G14" s="488"/>
      <c r="H14" s="488"/>
      <c r="I14" s="488"/>
    </row>
    <row r="15" spans="1:9" s="7" customFormat="1" ht="26.25" customHeight="1">
      <c r="A15" s="347">
        <v>3</v>
      </c>
      <c r="B15" s="141" t="s">
        <v>78</v>
      </c>
      <c r="C15" s="347">
        <v>90</v>
      </c>
      <c r="D15" s="91">
        <v>22100457</v>
      </c>
      <c r="E15" s="134" t="s">
        <v>363</v>
      </c>
      <c r="F15" s="352">
        <v>203000000</v>
      </c>
      <c r="G15" s="352">
        <v>50000000</v>
      </c>
      <c r="H15" s="352">
        <v>150000000</v>
      </c>
      <c r="I15" s="353">
        <f>F15-H15</f>
        <v>53000000</v>
      </c>
    </row>
    <row r="16" spans="1:9" s="7" customFormat="1" ht="26.25" customHeight="1">
      <c r="A16" s="347"/>
      <c r="B16" s="141"/>
      <c r="C16" s="347"/>
      <c r="D16" s="91">
        <v>22100450</v>
      </c>
      <c r="E16" s="134" t="s">
        <v>356</v>
      </c>
      <c r="F16" s="352">
        <v>120000000</v>
      </c>
      <c r="G16" s="352">
        <v>13110000</v>
      </c>
      <c r="H16" s="352">
        <v>58416341.18</v>
      </c>
      <c r="I16" s="353">
        <f>F16-H16</f>
        <v>61583658.82</v>
      </c>
    </row>
    <row r="17" spans="1:9" s="7" customFormat="1" ht="33" customHeight="1" thickBot="1">
      <c r="A17" s="348"/>
      <c r="B17" s="201"/>
      <c r="C17" s="348"/>
      <c r="D17" s="494" t="s">
        <v>557</v>
      </c>
      <c r="E17" s="137" t="s">
        <v>369</v>
      </c>
      <c r="F17" s="487">
        <v>90000000</v>
      </c>
      <c r="G17" s="487">
        <v>1590500</v>
      </c>
      <c r="H17" s="487">
        <v>40000000</v>
      </c>
      <c r="I17" s="361">
        <f>F17-H17</f>
        <v>50000000</v>
      </c>
    </row>
    <row r="18" spans="1:9" s="7" customFormat="1" ht="34.5" customHeight="1" thickBot="1">
      <c r="A18" s="489"/>
      <c r="B18" s="140"/>
      <c r="C18" s="490"/>
      <c r="D18" s="491"/>
      <c r="E18" s="140" t="s">
        <v>558</v>
      </c>
      <c r="F18" s="492">
        <f>SUM(F15:F17)</f>
        <v>413000000</v>
      </c>
      <c r="G18" s="492">
        <f>SUM(G15:G17)</f>
        <v>64700500</v>
      </c>
      <c r="H18" s="492">
        <f>SUM(H15:H17)</f>
        <v>248416341.18000001</v>
      </c>
      <c r="I18" s="493">
        <f>SUM(I15:I17)</f>
        <v>164583658.81999999</v>
      </c>
    </row>
    <row r="19" spans="1:9" s="7" customFormat="1" ht="6.75" customHeight="1">
      <c r="A19" s="355"/>
      <c r="B19" s="212"/>
      <c r="C19" s="355"/>
      <c r="D19" s="322"/>
      <c r="E19" s="212"/>
      <c r="F19" s="488"/>
      <c r="G19" s="488"/>
      <c r="H19" s="488"/>
      <c r="I19" s="488"/>
    </row>
    <row r="20" spans="1:9" s="7" customFormat="1" ht="28.5" customHeight="1" thickBot="1">
      <c r="A20" s="348">
        <v>4</v>
      </c>
      <c r="B20" s="201" t="s">
        <v>79</v>
      </c>
      <c r="C20" s="348">
        <v>91</v>
      </c>
      <c r="D20" s="323" t="s">
        <v>685</v>
      </c>
      <c r="E20" s="202" t="s">
        <v>316</v>
      </c>
      <c r="F20" s="487">
        <v>58500000</v>
      </c>
      <c r="G20" s="246">
        <v>1800000</v>
      </c>
      <c r="H20" s="361">
        <v>28000000</v>
      </c>
      <c r="I20" s="361">
        <f>F20-H20</f>
        <v>30500000</v>
      </c>
    </row>
    <row r="21" spans="1:9" s="7" customFormat="1" ht="24" customHeight="1" thickBot="1">
      <c r="A21" s="489"/>
      <c r="B21" s="140"/>
      <c r="C21" s="490"/>
      <c r="D21" s="491"/>
      <c r="E21" s="140" t="s">
        <v>319</v>
      </c>
      <c r="F21" s="492">
        <f>SUM(F20)</f>
        <v>58500000</v>
      </c>
      <c r="G21" s="492">
        <f>SUM(G20)</f>
        <v>1800000</v>
      </c>
      <c r="H21" s="492">
        <f>SUM(H20)</f>
        <v>28000000</v>
      </c>
      <c r="I21" s="493">
        <f>SUM(I20)</f>
        <v>30500000</v>
      </c>
    </row>
    <row r="22" spans="1:9" s="7" customFormat="1" ht="13.5" customHeight="1">
      <c r="A22" s="355"/>
      <c r="B22" s="212"/>
      <c r="C22" s="355"/>
      <c r="D22" s="322"/>
      <c r="E22" s="212"/>
      <c r="F22" s="488"/>
      <c r="G22" s="488"/>
      <c r="H22" s="488"/>
      <c r="I22" s="488"/>
    </row>
    <row r="23" spans="1:9" s="7" customFormat="1" ht="27" customHeight="1">
      <c r="A23" s="347">
        <v>5</v>
      </c>
      <c r="B23" s="141" t="s">
        <v>323</v>
      </c>
      <c r="C23" s="347">
        <v>101</v>
      </c>
      <c r="D23" s="332" t="s">
        <v>686</v>
      </c>
      <c r="E23" s="91" t="s">
        <v>324</v>
      </c>
      <c r="F23" s="352">
        <v>45000000</v>
      </c>
      <c r="G23" s="307">
        <v>18464000</v>
      </c>
      <c r="H23" s="353">
        <v>25000000</v>
      </c>
      <c r="I23" s="353">
        <f>F23-H23</f>
        <v>20000000</v>
      </c>
    </row>
    <row r="24" spans="1:9" s="7" customFormat="1" ht="27" customHeight="1" thickBot="1">
      <c r="A24" s="571"/>
      <c r="B24" s="518"/>
      <c r="C24" s="356"/>
      <c r="D24" s="501" t="s">
        <v>684</v>
      </c>
      <c r="E24" s="552" t="s">
        <v>683</v>
      </c>
      <c r="F24" s="508">
        <v>35000000</v>
      </c>
      <c r="G24" s="553">
        <v>34350000</v>
      </c>
      <c r="H24" s="510">
        <v>15000000</v>
      </c>
      <c r="I24" s="510">
        <f>F24-H24</f>
        <v>20000000</v>
      </c>
    </row>
    <row r="25" spans="1:9" s="7" customFormat="1" ht="25.5" customHeight="1" thickBot="1">
      <c r="A25" s="489"/>
      <c r="B25" s="140"/>
      <c r="C25" s="490"/>
      <c r="D25" s="491"/>
      <c r="E25" s="140" t="s">
        <v>322</v>
      </c>
      <c r="F25" s="493">
        <f t="shared" ref="F25:H25" si="0">SUM(F23:F24)</f>
        <v>80000000</v>
      </c>
      <c r="G25" s="493">
        <f t="shared" si="0"/>
        <v>52814000</v>
      </c>
      <c r="H25" s="493">
        <f t="shared" si="0"/>
        <v>40000000</v>
      </c>
      <c r="I25" s="493">
        <f>SUM(I23:I24)</f>
        <v>40000000</v>
      </c>
    </row>
    <row r="26" spans="1:9" s="7" customFormat="1" ht="27" customHeight="1" thickBot="1">
      <c r="A26" s="356">
        <v>6</v>
      </c>
      <c r="B26" s="506" t="s">
        <v>317</v>
      </c>
      <c r="C26" s="356">
        <v>103</v>
      </c>
      <c r="D26" s="501" t="s">
        <v>687</v>
      </c>
      <c r="E26" s="507" t="s">
        <v>318</v>
      </c>
      <c r="F26" s="508">
        <v>70000000</v>
      </c>
      <c r="G26" s="509">
        <v>2577000</v>
      </c>
      <c r="H26" s="510">
        <v>40000000</v>
      </c>
      <c r="I26" s="510">
        <f t="shared" ref="I26" si="1">F26-H26</f>
        <v>30000000</v>
      </c>
    </row>
    <row r="27" spans="1:9" s="7" customFormat="1" ht="25.5" customHeight="1" thickBot="1">
      <c r="A27" s="489"/>
      <c r="B27" s="213"/>
      <c r="C27" s="490"/>
      <c r="D27" s="491"/>
      <c r="E27" s="140" t="s">
        <v>320</v>
      </c>
      <c r="F27" s="492">
        <f>SUM(F26)</f>
        <v>70000000</v>
      </c>
      <c r="G27" s="492">
        <f>SUM(G26)</f>
        <v>2577000</v>
      </c>
      <c r="H27" s="492">
        <f>SUM(H26)</f>
        <v>40000000</v>
      </c>
      <c r="I27" s="493">
        <f>SUM(I26)</f>
        <v>30000000</v>
      </c>
    </row>
    <row r="28" spans="1:9" s="7" customFormat="1" ht="13.5" customHeight="1">
      <c r="A28" s="355"/>
      <c r="B28" s="212"/>
      <c r="C28" s="355"/>
      <c r="D28" s="322"/>
      <c r="E28" s="212"/>
      <c r="F28" s="488"/>
      <c r="G28" s="488"/>
      <c r="H28" s="488"/>
      <c r="I28" s="488"/>
    </row>
    <row r="29" spans="1:9" s="7" customFormat="1" ht="26.25" customHeight="1">
      <c r="A29" s="347">
        <v>7</v>
      </c>
      <c r="B29" s="141" t="s">
        <v>149</v>
      </c>
      <c r="C29" s="347">
        <v>105</v>
      </c>
      <c r="D29" s="362" t="s">
        <v>563</v>
      </c>
      <c r="E29" s="182" t="s">
        <v>562</v>
      </c>
      <c r="F29" s="486">
        <v>1659179109</v>
      </c>
      <c r="G29" s="364">
        <v>580321229.23000002</v>
      </c>
      <c r="H29" s="364">
        <v>800000000</v>
      </c>
      <c r="I29" s="365">
        <f>F29-H29</f>
        <v>859179109</v>
      </c>
    </row>
    <row r="30" spans="1:9" s="7" customFormat="1" ht="16.5" customHeight="1" thickBot="1">
      <c r="A30" s="348"/>
      <c r="B30" s="201"/>
      <c r="C30" s="348"/>
      <c r="D30" s="494" t="s">
        <v>564</v>
      </c>
      <c r="E30" s="137" t="s">
        <v>565</v>
      </c>
      <c r="F30" s="496">
        <v>602194593.94000006</v>
      </c>
      <c r="G30" s="495">
        <v>0</v>
      </c>
      <c r="H30" s="497">
        <v>500000000</v>
      </c>
      <c r="I30" s="498">
        <f>F30-H30</f>
        <v>102194593.94000006</v>
      </c>
    </row>
    <row r="31" spans="1:9" s="7" customFormat="1" ht="26.25" customHeight="1" thickBot="1">
      <c r="A31" s="489"/>
      <c r="B31" s="140"/>
      <c r="C31" s="490"/>
      <c r="D31" s="491"/>
      <c r="E31" s="140" t="s">
        <v>561</v>
      </c>
      <c r="F31" s="499">
        <f>SUM(F29:F30)</f>
        <v>2261373702.9400001</v>
      </c>
      <c r="G31" s="492">
        <f>SUM(G29:G30)</f>
        <v>580321229.23000002</v>
      </c>
      <c r="H31" s="499">
        <f>SUM(H29:H30)</f>
        <v>1300000000</v>
      </c>
      <c r="I31" s="500">
        <f>SUM(I29:I30)</f>
        <v>961373702.94000006</v>
      </c>
    </row>
    <row r="32" spans="1:9" s="7" customFormat="1" ht="10.5" customHeight="1">
      <c r="A32" s="355"/>
      <c r="B32" s="212"/>
      <c r="C32" s="355"/>
      <c r="D32" s="322"/>
      <c r="E32" s="212"/>
      <c r="F32" s="520"/>
      <c r="G32" s="488"/>
      <c r="H32" s="520"/>
      <c r="I32" s="520"/>
    </row>
    <row r="33" spans="1:9" s="7" customFormat="1" ht="38.25" customHeight="1" thickBot="1">
      <c r="A33" s="348">
        <v>8</v>
      </c>
      <c r="B33" s="201" t="s">
        <v>111</v>
      </c>
      <c r="C33" s="348">
        <v>77</v>
      </c>
      <c r="D33" s="494" t="s">
        <v>801</v>
      </c>
      <c r="E33" s="137" t="s">
        <v>668</v>
      </c>
      <c r="F33" s="246">
        <v>1864000000</v>
      </c>
      <c r="G33" s="495">
        <v>0</v>
      </c>
      <c r="H33" s="519">
        <v>1500000000</v>
      </c>
      <c r="I33" s="498">
        <f>F33-H33</f>
        <v>364000000</v>
      </c>
    </row>
    <row r="34" spans="1:9" s="7" customFormat="1" ht="34.5" customHeight="1" thickBot="1">
      <c r="A34" s="489"/>
      <c r="B34" s="140"/>
      <c r="C34" s="490"/>
      <c r="D34" s="491"/>
      <c r="E34" s="138" t="s">
        <v>669</v>
      </c>
      <c r="F34" s="500">
        <f t="shared" ref="F34:H34" si="2">SUM(F33)</f>
        <v>1864000000</v>
      </c>
      <c r="G34" s="500">
        <f t="shared" si="2"/>
        <v>0</v>
      </c>
      <c r="H34" s="500">
        <f t="shared" si="2"/>
        <v>1500000000</v>
      </c>
      <c r="I34" s="500">
        <f>SUM(I33)</f>
        <v>364000000</v>
      </c>
    </row>
    <row r="35" spans="1:9" s="7" customFormat="1" ht="9" customHeight="1">
      <c r="A35" s="639"/>
      <c r="B35" s="398"/>
      <c r="C35" s="640"/>
      <c r="D35" s="644"/>
      <c r="E35" s="643"/>
      <c r="F35" s="641"/>
      <c r="G35" s="641"/>
      <c r="H35" s="641"/>
      <c r="I35" s="641"/>
    </row>
    <row r="36" spans="1:9" s="7" customFormat="1" ht="34.5" customHeight="1">
      <c r="A36" s="347">
        <v>9</v>
      </c>
      <c r="B36" s="141" t="s">
        <v>89</v>
      </c>
      <c r="C36" s="347">
        <v>93</v>
      </c>
      <c r="D36" s="91">
        <v>22100502</v>
      </c>
      <c r="E36" s="372" t="s">
        <v>574</v>
      </c>
      <c r="F36" s="352">
        <v>10000000</v>
      </c>
      <c r="G36" s="352">
        <v>0</v>
      </c>
      <c r="H36" s="352">
        <v>5000000</v>
      </c>
      <c r="I36" s="365">
        <f>F36-H36</f>
        <v>5000000</v>
      </c>
    </row>
    <row r="37" spans="1:9" s="7" customFormat="1" ht="21.75" customHeight="1">
      <c r="A37" s="347"/>
      <c r="B37" s="141"/>
      <c r="C37" s="347"/>
      <c r="D37" s="91">
        <v>22100503</v>
      </c>
      <c r="E37" s="134" t="s">
        <v>575</v>
      </c>
      <c r="F37" s="352">
        <v>8000000</v>
      </c>
      <c r="G37" s="307">
        <v>822600</v>
      </c>
      <c r="H37" s="352">
        <v>5000000</v>
      </c>
      <c r="I37" s="365">
        <f>F37-H37</f>
        <v>3000000</v>
      </c>
    </row>
    <row r="38" spans="1:9" s="7" customFormat="1" ht="34.5" customHeight="1">
      <c r="A38" s="347"/>
      <c r="B38" s="141"/>
      <c r="C38" s="347"/>
      <c r="D38" s="91">
        <v>22100508</v>
      </c>
      <c r="E38" s="134" t="s">
        <v>580</v>
      </c>
      <c r="F38" s="352">
        <v>30000000</v>
      </c>
      <c r="G38" s="241">
        <v>18613000</v>
      </c>
      <c r="H38" s="352">
        <v>5000000</v>
      </c>
      <c r="I38" s="365">
        <f>F38-H38</f>
        <v>25000000</v>
      </c>
    </row>
    <row r="39" spans="1:9" s="7" customFormat="1" ht="27.75" customHeight="1" thickBot="1">
      <c r="A39" s="348"/>
      <c r="B39" s="201"/>
      <c r="C39" s="348"/>
      <c r="D39" s="202">
        <v>22100510</v>
      </c>
      <c r="E39" s="137" t="s">
        <v>582</v>
      </c>
      <c r="F39" s="487">
        <v>45000000</v>
      </c>
      <c r="G39" s="487">
        <v>12671900</v>
      </c>
      <c r="H39" s="487">
        <v>20000000</v>
      </c>
      <c r="I39" s="498">
        <f>F39-H39</f>
        <v>25000000</v>
      </c>
    </row>
    <row r="40" spans="1:9" s="7" customFormat="1" ht="34.5" customHeight="1" thickBot="1">
      <c r="A40" s="489"/>
      <c r="B40" s="140"/>
      <c r="C40" s="490"/>
      <c r="D40" s="491"/>
      <c r="E40" s="140" t="s">
        <v>789</v>
      </c>
      <c r="F40" s="499">
        <f t="shared" ref="F40:H40" si="3">SUM(F36:F39)</f>
        <v>93000000</v>
      </c>
      <c r="G40" s="499">
        <f t="shared" si="3"/>
        <v>32107500</v>
      </c>
      <c r="H40" s="499">
        <f t="shared" si="3"/>
        <v>35000000</v>
      </c>
      <c r="I40" s="500">
        <f>SUM(I36:I39)</f>
        <v>58000000</v>
      </c>
    </row>
    <row r="41" spans="1:9" ht="17.25" customHeight="1" thickBot="1">
      <c r="A41" s="502"/>
      <c r="B41" s="503"/>
      <c r="C41" s="503"/>
      <c r="D41" s="503"/>
      <c r="E41" s="504" t="s">
        <v>29</v>
      </c>
      <c r="F41" s="505">
        <f>F25+F27+F21+F13+F18+F31+F10+F34+F40</f>
        <v>5169993702.9400005</v>
      </c>
      <c r="G41" s="505">
        <f>G25+G27+G21+G13+G18+G31+G10+G34+G40</f>
        <v>736581229.23000002</v>
      </c>
      <c r="H41" s="505">
        <f>H25+H27+H21+H13+H18+H31+H10+H34+H40</f>
        <v>3411416341.1800003</v>
      </c>
      <c r="I41" s="505">
        <f>I25+I27+I21+I13+I18+I31+I10+I34+I40</f>
        <v>1758577361.76</v>
      </c>
    </row>
  </sheetData>
  <mergeCells count="4">
    <mergeCell ref="A1:I1"/>
    <mergeCell ref="A2:I2"/>
    <mergeCell ref="A3:I3"/>
    <mergeCell ref="A5:I5"/>
  </mergeCells>
  <pageMargins left="0.7" right="0.13" top="0.75" bottom="0.75" header="0.3" footer="0.3"/>
  <pageSetup firstPageNumber="5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0"/>
  <sheetViews>
    <sheetView topLeftCell="A4" workbookViewId="0">
      <selection activeCell="G21" sqref="G21"/>
    </sheetView>
  </sheetViews>
  <sheetFormatPr defaultRowHeight="15"/>
  <cols>
    <col min="1" max="2" width="11.5703125" customWidth="1"/>
    <col min="3" max="3" width="32.85546875" customWidth="1"/>
    <col min="4" max="4" width="14.140625" customWidth="1"/>
    <col min="5" max="5" width="13" customWidth="1"/>
    <col min="6" max="6" width="14.140625" customWidth="1"/>
    <col min="7" max="7" width="14" customWidth="1"/>
    <col min="8" max="8" width="9.85546875" customWidth="1"/>
  </cols>
  <sheetData>
    <row r="1" spans="1:8">
      <c r="A1" s="679" t="s">
        <v>9</v>
      </c>
      <c r="B1" s="679"/>
      <c r="C1" s="679"/>
      <c r="D1" s="679"/>
      <c r="E1" s="679"/>
      <c r="F1" s="679"/>
      <c r="G1" s="679"/>
      <c r="H1" s="679"/>
    </row>
    <row r="2" spans="1:8">
      <c r="A2" s="681" t="s">
        <v>665</v>
      </c>
      <c r="B2" s="681"/>
      <c r="C2" s="681"/>
      <c r="D2" s="681"/>
      <c r="E2" s="681"/>
      <c r="F2" s="681"/>
      <c r="G2" s="681"/>
      <c r="H2" s="681"/>
    </row>
    <row r="3" spans="1:8">
      <c r="A3" s="679" t="s">
        <v>493</v>
      </c>
      <c r="B3" s="679"/>
      <c r="C3" s="679"/>
      <c r="D3" s="679"/>
      <c r="E3" s="679"/>
      <c r="F3" s="679"/>
      <c r="G3" s="679"/>
      <c r="H3" s="679"/>
    </row>
    <row r="4" spans="1:8">
      <c r="A4" s="31"/>
      <c r="B4" s="31"/>
      <c r="C4" s="683"/>
      <c r="D4" s="683"/>
      <c r="E4" s="683"/>
      <c r="F4" s="683"/>
      <c r="G4" s="32"/>
    </row>
    <row r="5" spans="1:8" s="33" customFormat="1" ht="39" customHeight="1">
      <c r="A5" s="121" t="s">
        <v>19</v>
      </c>
      <c r="B5" s="121" t="s">
        <v>20</v>
      </c>
      <c r="C5" s="121" t="s">
        <v>21</v>
      </c>
      <c r="D5" s="121" t="s">
        <v>214</v>
      </c>
      <c r="E5" s="121" t="s">
        <v>596</v>
      </c>
      <c r="F5" s="121" t="s">
        <v>595</v>
      </c>
      <c r="G5" s="121" t="s">
        <v>594</v>
      </c>
      <c r="H5" s="121" t="s">
        <v>309</v>
      </c>
    </row>
    <row r="6" spans="1:8" s="35" customFormat="1" ht="15.75" customHeight="1">
      <c r="A6" s="149">
        <v>1</v>
      </c>
      <c r="B6" s="149">
        <v>2</v>
      </c>
      <c r="C6" s="223">
        <v>3</v>
      </c>
      <c r="D6" s="282" t="s">
        <v>23</v>
      </c>
      <c r="E6" s="282" t="s">
        <v>177</v>
      </c>
      <c r="F6" s="283" t="s">
        <v>24</v>
      </c>
      <c r="G6" s="284" t="s">
        <v>25</v>
      </c>
      <c r="H6" s="34"/>
    </row>
    <row r="7" spans="1:8" s="35" customFormat="1" ht="26.25" customHeight="1">
      <c r="A7" s="457">
        <v>26300100100</v>
      </c>
      <c r="B7" s="196"/>
      <c r="C7" s="448" t="s">
        <v>671</v>
      </c>
      <c r="D7" s="228">
        <v>194071777.28999999</v>
      </c>
      <c r="E7" s="370">
        <v>0</v>
      </c>
      <c r="F7" s="371">
        <v>0</v>
      </c>
      <c r="G7" s="388">
        <v>148569059.09999999</v>
      </c>
      <c r="H7" s="34"/>
    </row>
    <row r="8" spans="1:8" s="35" customFormat="1" ht="15.75" customHeight="1">
      <c r="A8" s="383">
        <v>31800100100</v>
      </c>
      <c r="B8" s="149"/>
      <c r="C8" s="372" t="s">
        <v>26</v>
      </c>
      <c r="D8" s="373">
        <v>1412662585.4100001</v>
      </c>
      <c r="E8" s="371">
        <v>710560448.14999998</v>
      </c>
      <c r="F8" s="374">
        <v>0</v>
      </c>
      <c r="G8" s="375">
        <v>1192174534.1800001</v>
      </c>
      <c r="H8" s="34"/>
    </row>
    <row r="9" spans="1:8" s="35" customFormat="1" ht="17.25" customHeight="1">
      <c r="A9" s="526" t="s">
        <v>593</v>
      </c>
      <c r="B9" s="527"/>
      <c r="C9" s="318" t="s">
        <v>87</v>
      </c>
      <c r="D9" s="528">
        <v>0</v>
      </c>
      <c r="E9" s="529">
        <v>0</v>
      </c>
      <c r="F9" s="530">
        <v>517788064.99000001</v>
      </c>
      <c r="G9" s="248">
        <f>D9+F9</f>
        <v>517788064.99000001</v>
      </c>
      <c r="H9" s="285"/>
    </row>
    <row r="10" spans="1:8" s="35" customFormat="1" ht="28.5" customHeight="1">
      <c r="A10" s="560">
        <v>55200100200</v>
      </c>
      <c r="B10" s="527"/>
      <c r="C10" s="465" t="s">
        <v>672</v>
      </c>
      <c r="D10" s="528">
        <v>0</v>
      </c>
      <c r="E10" s="529">
        <v>0</v>
      </c>
      <c r="F10" s="530">
        <v>88536083.760000005</v>
      </c>
      <c r="G10" s="248">
        <f>D10+F10</f>
        <v>88536083.760000005</v>
      </c>
      <c r="H10" s="285"/>
    </row>
    <row r="11" spans="1:8" s="35" customFormat="1" ht="18.75" customHeight="1" thickBot="1">
      <c r="A11" s="560"/>
      <c r="B11" s="527"/>
      <c r="C11" s="631" t="s">
        <v>201</v>
      </c>
      <c r="D11" s="466">
        <v>3329733462.7199998</v>
      </c>
      <c r="E11" s="529"/>
      <c r="F11" s="530">
        <v>2394501372.5</v>
      </c>
      <c r="G11" s="248">
        <f>D11+F11</f>
        <v>5724234835.2199993</v>
      </c>
      <c r="H11" s="285"/>
    </row>
    <row r="12" spans="1:8" s="35" customFormat="1" ht="18" customHeight="1" thickBot="1">
      <c r="A12" s="286"/>
      <c r="B12" s="287"/>
      <c r="C12" s="632" t="s">
        <v>29</v>
      </c>
      <c r="D12" s="516">
        <f t="shared" ref="D12:F12" si="0">SUM(D7:D11)</f>
        <v>4936467825.4200001</v>
      </c>
      <c r="E12" s="516">
        <f t="shared" si="0"/>
        <v>710560448.14999998</v>
      </c>
      <c r="F12" s="516">
        <f t="shared" si="0"/>
        <v>3000825521.25</v>
      </c>
      <c r="G12" s="516">
        <f>SUM(G7:G11)</f>
        <v>7671302577.249999</v>
      </c>
      <c r="H12" s="288"/>
    </row>
    <row r="17" spans="3:7">
      <c r="D17" s="289"/>
      <c r="F17" s="289"/>
      <c r="G17" s="289"/>
    </row>
    <row r="21" spans="3:7">
      <c r="C21" s="3"/>
    </row>
    <row r="23" spans="3:7">
      <c r="C23" s="3"/>
    </row>
    <row r="30" spans="3:7">
      <c r="D30">
        <v>7</v>
      </c>
    </row>
  </sheetData>
  <mergeCells count="4">
    <mergeCell ref="C4:F4"/>
    <mergeCell ref="A1:H1"/>
    <mergeCell ref="A2:H2"/>
    <mergeCell ref="A3:H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756"/>
  <sheetViews>
    <sheetView topLeftCell="A43" workbookViewId="0">
      <selection activeCell="I58" sqref="I58"/>
    </sheetView>
  </sheetViews>
  <sheetFormatPr defaultRowHeight="15"/>
  <cols>
    <col min="1" max="1" width="4.42578125" customWidth="1"/>
    <col min="2" max="2" width="9.85546875" style="35" customWidth="1"/>
    <col min="3" max="3" width="39" style="49" customWidth="1"/>
    <col min="4" max="4" width="14.7109375" customWidth="1"/>
    <col min="5" max="6" width="12.28515625" customWidth="1"/>
    <col min="7" max="7" width="13.7109375" customWidth="1"/>
    <col min="8" max="8" width="13.5703125" customWidth="1"/>
    <col min="9" max="9" width="10.85546875" customWidth="1"/>
    <col min="10" max="10" width="16.85546875" bestFit="1" customWidth="1"/>
    <col min="13" max="13" width="15.28515625" bestFit="1" customWidth="1"/>
  </cols>
  <sheetData>
    <row r="1" spans="1:9">
      <c r="A1" s="684" t="s">
        <v>659</v>
      </c>
      <c r="B1" s="684"/>
      <c r="C1" s="684"/>
      <c r="D1" s="684"/>
      <c r="E1" s="684"/>
      <c r="F1" s="684"/>
      <c r="G1" s="684"/>
      <c r="H1" s="684"/>
      <c r="I1" s="684"/>
    </row>
    <row r="2" spans="1:9">
      <c r="A2" s="684" t="s">
        <v>660</v>
      </c>
      <c r="B2" s="684"/>
      <c r="C2" s="684"/>
      <c r="D2" s="684"/>
      <c r="E2" s="684"/>
      <c r="F2" s="684"/>
      <c r="G2" s="684"/>
      <c r="H2" s="684"/>
      <c r="I2" s="684"/>
    </row>
    <row r="3" spans="1:9">
      <c r="A3" s="684" t="s">
        <v>168</v>
      </c>
      <c r="B3" s="684"/>
      <c r="C3" s="684"/>
      <c r="D3" s="684"/>
      <c r="E3" s="684"/>
      <c r="F3" s="684"/>
      <c r="G3" s="684"/>
      <c r="H3" s="684"/>
      <c r="I3" s="684"/>
    </row>
    <row r="4" spans="1:9">
      <c r="A4" s="290"/>
      <c r="B4" s="290"/>
      <c r="C4" s="290"/>
      <c r="D4" s="290"/>
      <c r="E4" s="290"/>
      <c r="F4" s="622"/>
      <c r="G4" s="290"/>
      <c r="H4" s="290"/>
    </row>
    <row r="5" spans="1:9">
      <c r="A5" s="104" t="s">
        <v>477</v>
      </c>
      <c r="B5" s="104"/>
      <c r="C5" s="104"/>
      <c r="D5" s="104"/>
      <c r="E5" s="104"/>
      <c r="F5" s="104"/>
      <c r="G5" s="104"/>
      <c r="H5" s="105"/>
    </row>
    <row r="6" spans="1:9">
      <c r="A6" s="105"/>
      <c r="B6" s="290"/>
      <c r="C6" s="105"/>
      <c r="D6" s="105"/>
      <c r="E6" s="105"/>
      <c r="F6" s="105"/>
      <c r="G6" s="105"/>
      <c r="H6" s="105"/>
    </row>
    <row r="7" spans="1:9">
      <c r="A7" s="106" t="s">
        <v>496</v>
      </c>
      <c r="B7" s="106"/>
      <c r="C7" s="106"/>
      <c r="D7" s="105"/>
      <c r="E7" s="105"/>
      <c r="F7" s="105"/>
      <c r="G7" s="105"/>
      <c r="H7" s="105"/>
    </row>
    <row r="8" spans="1:9" ht="29.25" customHeight="1">
      <c r="A8" s="58" t="s">
        <v>0</v>
      </c>
      <c r="B8" s="107" t="s">
        <v>38</v>
      </c>
      <c r="C8" s="107" t="s">
        <v>39</v>
      </c>
      <c r="D8" s="107" t="s">
        <v>212</v>
      </c>
      <c r="E8" s="107" t="s">
        <v>466</v>
      </c>
      <c r="F8" s="107" t="s">
        <v>777</v>
      </c>
      <c r="G8" s="108" t="s">
        <v>40</v>
      </c>
      <c r="H8" s="108" t="s">
        <v>492</v>
      </c>
      <c r="I8" s="108" t="s">
        <v>311</v>
      </c>
    </row>
    <row r="9" spans="1:9">
      <c r="A9" s="91">
        <v>1</v>
      </c>
      <c r="B9" s="92">
        <v>22020102</v>
      </c>
      <c r="C9" s="93" t="s">
        <v>215</v>
      </c>
      <c r="D9" s="94">
        <v>1400000</v>
      </c>
      <c r="E9" s="235">
        <v>0</v>
      </c>
      <c r="F9" s="235">
        <v>0</v>
      </c>
      <c r="G9" s="63">
        <v>2500000</v>
      </c>
      <c r="H9" s="41">
        <f>D9+G9</f>
        <v>3900000</v>
      </c>
      <c r="I9" s="37" t="s">
        <v>310</v>
      </c>
    </row>
    <row r="10" spans="1:9">
      <c r="A10" s="91">
        <v>2</v>
      </c>
      <c r="B10" s="92">
        <v>22020202</v>
      </c>
      <c r="C10" s="93" t="s">
        <v>216</v>
      </c>
      <c r="D10" s="94">
        <v>100000</v>
      </c>
      <c r="E10" s="235">
        <v>0</v>
      </c>
      <c r="F10" s="235">
        <v>0</v>
      </c>
      <c r="G10" s="63">
        <v>100000</v>
      </c>
      <c r="H10" s="41">
        <f t="shared" ref="H10:H17" si="0">D10+G10</f>
        <v>200000</v>
      </c>
      <c r="I10" s="37" t="s">
        <v>310</v>
      </c>
    </row>
    <row r="11" spans="1:9">
      <c r="A11" s="91">
        <v>3</v>
      </c>
      <c r="B11" s="92">
        <v>22020203</v>
      </c>
      <c r="C11" s="93" t="s">
        <v>217</v>
      </c>
      <c r="D11" s="94">
        <v>100000</v>
      </c>
      <c r="E11" s="235">
        <v>0</v>
      </c>
      <c r="F11" s="235">
        <v>0</v>
      </c>
      <c r="G11" s="43">
        <v>100000</v>
      </c>
      <c r="H11" s="41">
        <f t="shared" si="0"/>
        <v>200000</v>
      </c>
      <c r="I11" s="37" t="s">
        <v>310</v>
      </c>
    </row>
    <row r="12" spans="1:9">
      <c r="A12" s="91">
        <v>4</v>
      </c>
      <c r="B12" s="92">
        <v>22020205</v>
      </c>
      <c r="C12" s="93" t="s">
        <v>218</v>
      </c>
      <c r="D12" s="94">
        <v>100000</v>
      </c>
      <c r="E12" s="235">
        <v>0</v>
      </c>
      <c r="F12" s="235">
        <v>0</v>
      </c>
      <c r="G12" s="43">
        <v>100000</v>
      </c>
      <c r="H12" s="41">
        <f t="shared" si="0"/>
        <v>200000</v>
      </c>
      <c r="I12" s="37" t="s">
        <v>310</v>
      </c>
    </row>
    <row r="13" spans="1:9" ht="18.75" customHeight="1">
      <c r="A13" s="91">
        <v>5</v>
      </c>
      <c r="B13" s="92">
        <v>22020301</v>
      </c>
      <c r="C13" s="93" t="s">
        <v>219</v>
      </c>
      <c r="D13" s="94">
        <v>250000</v>
      </c>
      <c r="E13" s="235">
        <v>0</v>
      </c>
      <c r="F13" s="235">
        <v>0</v>
      </c>
      <c r="G13" s="43">
        <v>400000</v>
      </c>
      <c r="H13" s="41">
        <f t="shared" si="0"/>
        <v>650000</v>
      </c>
      <c r="I13" s="37" t="s">
        <v>310</v>
      </c>
    </row>
    <row r="14" spans="1:9">
      <c r="A14" s="91">
        <v>6</v>
      </c>
      <c r="B14" s="92">
        <v>22020303</v>
      </c>
      <c r="C14" s="93" t="s">
        <v>220</v>
      </c>
      <c r="D14" s="94">
        <v>100000</v>
      </c>
      <c r="E14" s="235">
        <v>0</v>
      </c>
      <c r="F14" s="235">
        <v>0</v>
      </c>
      <c r="G14" s="43">
        <v>100000</v>
      </c>
      <c r="H14" s="41">
        <f t="shared" si="0"/>
        <v>200000</v>
      </c>
      <c r="I14" s="37" t="s">
        <v>310</v>
      </c>
    </row>
    <row r="15" spans="1:9" ht="23.25">
      <c r="A15" s="91">
        <v>7</v>
      </c>
      <c r="B15" s="92">
        <v>22020401</v>
      </c>
      <c r="C15" s="93" t="s">
        <v>221</v>
      </c>
      <c r="D15" s="94">
        <v>1100000</v>
      </c>
      <c r="E15" s="235">
        <v>0</v>
      </c>
      <c r="F15" s="235">
        <v>0</v>
      </c>
      <c r="G15" s="41">
        <v>1200000</v>
      </c>
      <c r="H15" s="41">
        <f t="shared" si="0"/>
        <v>2300000</v>
      </c>
      <c r="I15" s="37" t="s">
        <v>310</v>
      </c>
    </row>
    <row r="16" spans="1:9">
      <c r="A16" s="91">
        <v>8</v>
      </c>
      <c r="B16" s="92">
        <v>22020402</v>
      </c>
      <c r="C16" s="93" t="s">
        <v>222</v>
      </c>
      <c r="D16" s="94">
        <v>200000</v>
      </c>
      <c r="E16" s="235">
        <v>0</v>
      </c>
      <c r="F16" s="235">
        <v>0</v>
      </c>
      <c r="G16" s="95">
        <v>1500000</v>
      </c>
      <c r="H16" s="96">
        <f t="shared" si="0"/>
        <v>1700000</v>
      </c>
      <c r="I16" s="37" t="s">
        <v>310</v>
      </c>
    </row>
    <row r="17" spans="1:9">
      <c r="A17" s="91">
        <v>9</v>
      </c>
      <c r="B17" s="92">
        <v>22021001</v>
      </c>
      <c r="C17" s="93" t="s">
        <v>223</v>
      </c>
      <c r="D17" s="94">
        <v>150000</v>
      </c>
      <c r="E17" s="235">
        <v>0</v>
      </c>
      <c r="F17" s="235">
        <v>0</v>
      </c>
      <c r="G17" s="95">
        <v>500000</v>
      </c>
      <c r="H17" s="96">
        <f t="shared" si="0"/>
        <v>650000</v>
      </c>
      <c r="I17" s="37" t="s">
        <v>310</v>
      </c>
    </row>
    <row r="18" spans="1:9">
      <c r="A18" s="37"/>
      <c r="B18" s="34"/>
      <c r="C18" s="110" t="s">
        <v>41</v>
      </c>
      <c r="D18" s="120">
        <f>SUM(D9:D17)</f>
        <v>3500000</v>
      </c>
      <c r="E18" s="120">
        <v>2665714</v>
      </c>
      <c r="F18" s="235">
        <v>0</v>
      </c>
      <c r="G18" s="120">
        <f>SUM(G9:G17)</f>
        <v>6500000</v>
      </c>
      <c r="H18" s="120">
        <f>SUM(H9:H17)</f>
        <v>10000000</v>
      </c>
      <c r="I18" s="37"/>
    </row>
    <row r="33" spans="1:9">
      <c r="A33" s="112"/>
      <c r="B33" s="89"/>
      <c r="C33" s="291"/>
      <c r="D33" s="112"/>
      <c r="E33" s="112"/>
      <c r="F33" s="112"/>
      <c r="G33" s="112"/>
      <c r="H33" s="112"/>
      <c r="I33" s="112"/>
    </row>
    <row r="34" spans="1:9">
      <c r="A34" s="684" t="s">
        <v>659</v>
      </c>
      <c r="B34" s="684"/>
      <c r="C34" s="684"/>
      <c r="D34" s="684"/>
      <c r="E34" s="684"/>
      <c r="F34" s="684"/>
      <c r="G34" s="684"/>
      <c r="H34" s="684"/>
      <c r="I34" s="684"/>
    </row>
    <row r="35" spans="1:9">
      <c r="A35" s="684" t="s">
        <v>660</v>
      </c>
      <c r="B35" s="684"/>
      <c r="C35" s="684"/>
      <c r="D35" s="684"/>
      <c r="E35" s="684"/>
      <c r="F35" s="684"/>
      <c r="G35" s="684"/>
      <c r="H35" s="684"/>
      <c r="I35" s="684"/>
    </row>
    <row r="36" spans="1:9">
      <c r="A36" s="684" t="s">
        <v>168</v>
      </c>
      <c r="B36" s="684"/>
      <c r="C36" s="684"/>
      <c r="D36" s="684"/>
      <c r="E36" s="684"/>
      <c r="F36" s="684"/>
      <c r="G36" s="684"/>
      <c r="H36" s="684"/>
      <c r="I36" s="684"/>
    </row>
    <row r="37" spans="1:9">
      <c r="A37" s="290"/>
      <c r="B37" s="290"/>
      <c r="C37" s="290"/>
      <c r="D37" s="290"/>
      <c r="E37" s="290"/>
      <c r="F37" s="622"/>
      <c r="G37" s="290"/>
      <c r="H37" s="290"/>
      <c r="I37" s="112"/>
    </row>
    <row r="38" spans="1:9">
      <c r="A38" s="104" t="s">
        <v>478</v>
      </c>
      <c r="B38" s="104"/>
      <c r="C38" s="104"/>
      <c r="D38" s="104"/>
      <c r="E38" s="104"/>
      <c r="F38" s="104"/>
      <c r="G38" s="104"/>
      <c r="H38" s="105"/>
      <c r="I38" s="112"/>
    </row>
    <row r="39" spans="1:9">
      <c r="A39" s="105"/>
      <c r="B39" s="290"/>
      <c r="C39" s="105"/>
      <c r="D39" s="105"/>
      <c r="E39" s="105"/>
      <c r="F39" s="105"/>
      <c r="G39" s="105"/>
      <c r="H39" s="105"/>
      <c r="I39" s="112"/>
    </row>
    <row r="40" spans="1:9">
      <c r="A40" s="106" t="s">
        <v>479</v>
      </c>
      <c r="B40" s="106"/>
      <c r="C40" s="106"/>
      <c r="D40" s="105"/>
      <c r="E40" s="105"/>
      <c r="F40" s="105"/>
      <c r="G40" s="105"/>
      <c r="H40" s="105"/>
      <c r="I40" s="112"/>
    </row>
    <row r="41" spans="1:9" ht="36.75">
      <c r="A41" s="58" t="s">
        <v>0</v>
      </c>
      <c r="B41" s="107" t="s">
        <v>38</v>
      </c>
      <c r="C41" s="107" t="s">
        <v>39</v>
      </c>
      <c r="D41" s="107" t="s">
        <v>212</v>
      </c>
      <c r="E41" s="107" t="s">
        <v>466</v>
      </c>
      <c r="F41" s="107" t="s">
        <v>777</v>
      </c>
      <c r="G41" s="108" t="s">
        <v>40</v>
      </c>
      <c r="H41" s="108" t="s">
        <v>492</v>
      </c>
      <c r="I41" s="108" t="s">
        <v>311</v>
      </c>
    </row>
    <row r="42" spans="1:9">
      <c r="A42" s="36">
        <v>1</v>
      </c>
      <c r="B42" s="59">
        <v>22020102</v>
      </c>
      <c r="C42" s="52" t="s">
        <v>215</v>
      </c>
      <c r="D42" s="97">
        <v>1210000</v>
      </c>
      <c r="E42" s="41">
        <v>0</v>
      </c>
      <c r="F42" s="41">
        <v>0</v>
      </c>
      <c r="G42" s="41">
        <v>1000000</v>
      </c>
      <c r="H42" s="41">
        <f t="shared" ref="H42:H51" si="1">D42+G42</f>
        <v>2210000</v>
      </c>
      <c r="I42" s="171" t="s">
        <v>310</v>
      </c>
    </row>
    <row r="43" spans="1:9">
      <c r="A43" s="36">
        <v>2</v>
      </c>
      <c r="B43" s="59">
        <v>22020201</v>
      </c>
      <c r="C43" s="52" t="s">
        <v>471</v>
      </c>
      <c r="D43" s="97">
        <v>400000</v>
      </c>
      <c r="E43" s="41">
        <v>0</v>
      </c>
      <c r="F43" s="41">
        <v>0</v>
      </c>
      <c r="G43" s="41">
        <v>400000</v>
      </c>
      <c r="H43" s="41">
        <f t="shared" si="1"/>
        <v>800000</v>
      </c>
      <c r="I43" s="171" t="s">
        <v>310</v>
      </c>
    </row>
    <row r="44" spans="1:9">
      <c r="A44" s="36">
        <v>3</v>
      </c>
      <c r="B44" s="59">
        <v>22020202</v>
      </c>
      <c r="C44" s="52" t="s">
        <v>216</v>
      </c>
      <c r="D44" s="97">
        <v>200000</v>
      </c>
      <c r="E44" s="41">
        <v>0</v>
      </c>
      <c r="F44" s="41">
        <v>0</v>
      </c>
      <c r="G44" s="41">
        <v>200000</v>
      </c>
      <c r="H44" s="41">
        <f t="shared" si="1"/>
        <v>400000</v>
      </c>
      <c r="I44" s="171" t="s">
        <v>310</v>
      </c>
    </row>
    <row r="45" spans="1:9" ht="24.75">
      <c r="A45" s="36">
        <v>4</v>
      </c>
      <c r="B45" s="59">
        <v>22020301</v>
      </c>
      <c r="C45" s="52" t="s">
        <v>219</v>
      </c>
      <c r="D45" s="97">
        <v>600000</v>
      </c>
      <c r="E45" s="41">
        <v>0</v>
      </c>
      <c r="F45" s="41">
        <v>0</v>
      </c>
      <c r="G45" s="41">
        <v>700000</v>
      </c>
      <c r="H45" s="41">
        <f t="shared" si="1"/>
        <v>1300000</v>
      </c>
      <c r="I45" s="171" t="s">
        <v>310</v>
      </c>
    </row>
    <row r="46" spans="1:9">
      <c r="A46" s="36">
        <v>5</v>
      </c>
      <c r="B46" s="59">
        <v>22020306</v>
      </c>
      <c r="C46" s="52" t="s">
        <v>472</v>
      </c>
      <c r="D46" s="97">
        <v>200000</v>
      </c>
      <c r="E46" s="41">
        <v>0</v>
      </c>
      <c r="F46" s="41">
        <v>0</v>
      </c>
      <c r="G46" s="41">
        <v>200000</v>
      </c>
      <c r="H46" s="41">
        <f t="shared" si="1"/>
        <v>400000</v>
      </c>
      <c r="I46" s="171" t="s">
        <v>310</v>
      </c>
    </row>
    <row r="47" spans="1:9" ht="24.75">
      <c r="A47" s="36">
        <v>6</v>
      </c>
      <c r="B47" s="59">
        <v>22020401</v>
      </c>
      <c r="C47" s="52" t="s">
        <v>221</v>
      </c>
      <c r="D47" s="97">
        <v>400000</v>
      </c>
      <c r="E47" s="41">
        <v>0</v>
      </c>
      <c r="F47" s="41">
        <v>0</v>
      </c>
      <c r="G47" s="41">
        <v>400000</v>
      </c>
      <c r="H47" s="41">
        <f t="shared" si="1"/>
        <v>800000</v>
      </c>
      <c r="I47" s="171" t="s">
        <v>310</v>
      </c>
    </row>
    <row r="48" spans="1:9">
      <c r="A48" s="36">
        <v>7</v>
      </c>
      <c r="B48" s="59">
        <v>22020402</v>
      </c>
      <c r="C48" s="52" t="s">
        <v>222</v>
      </c>
      <c r="D48" s="97">
        <v>250000</v>
      </c>
      <c r="E48" s="41">
        <v>0</v>
      </c>
      <c r="F48" s="41">
        <v>0</v>
      </c>
      <c r="G48" s="41">
        <v>240000</v>
      </c>
      <c r="H48" s="41">
        <f t="shared" si="1"/>
        <v>490000</v>
      </c>
      <c r="I48" s="171" t="s">
        <v>310</v>
      </c>
    </row>
    <row r="49" spans="1:9">
      <c r="A49" s="36">
        <v>8</v>
      </c>
      <c r="B49" s="59">
        <v>22020501</v>
      </c>
      <c r="C49" s="52" t="s">
        <v>473</v>
      </c>
      <c r="D49" s="97">
        <v>300000</v>
      </c>
      <c r="E49" s="41">
        <v>0</v>
      </c>
      <c r="F49" s="41">
        <v>0</v>
      </c>
      <c r="G49" s="41">
        <v>500000</v>
      </c>
      <c r="H49" s="41">
        <f t="shared" si="1"/>
        <v>800000</v>
      </c>
      <c r="I49" s="171" t="s">
        <v>310</v>
      </c>
    </row>
    <row r="50" spans="1:9">
      <c r="A50" s="36">
        <v>9</v>
      </c>
      <c r="B50" s="59">
        <v>22021007</v>
      </c>
      <c r="C50" s="52" t="s">
        <v>474</v>
      </c>
      <c r="D50" s="97">
        <v>300000</v>
      </c>
      <c r="E50" s="41">
        <v>0</v>
      </c>
      <c r="F50" s="41">
        <v>0</v>
      </c>
      <c r="G50" s="41">
        <v>400000</v>
      </c>
      <c r="H50" s="41">
        <f t="shared" si="1"/>
        <v>700000</v>
      </c>
      <c r="I50" s="171" t="s">
        <v>310</v>
      </c>
    </row>
    <row r="51" spans="1:9">
      <c r="A51" s="36">
        <v>10</v>
      </c>
      <c r="B51" s="59">
        <v>41040105</v>
      </c>
      <c r="C51" s="52" t="s">
        <v>475</v>
      </c>
      <c r="D51" s="97">
        <v>100000</v>
      </c>
      <c r="E51" s="41">
        <v>0</v>
      </c>
      <c r="F51" s="41">
        <v>0</v>
      </c>
      <c r="G51" s="41">
        <v>0</v>
      </c>
      <c r="H51" s="41">
        <f t="shared" si="1"/>
        <v>100000</v>
      </c>
      <c r="I51" s="171" t="s">
        <v>310</v>
      </c>
    </row>
    <row r="52" spans="1:9">
      <c r="A52" s="45"/>
      <c r="B52" s="44"/>
      <c r="C52" s="258" t="s">
        <v>41</v>
      </c>
      <c r="D52" s="259">
        <f>SUM(D42:D51)</f>
        <v>3960000</v>
      </c>
      <c r="E52" s="120">
        <v>1750000</v>
      </c>
      <c r="F52" s="41">
        <v>0</v>
      </c>
      <c r="G52" s="260">
        <f>SUM(G42:G51)</f>
        <v>4040000</v>
      </c>
      <c r="H52" s="260">
        <f>SUM(H42:H51)</f>
        <v>8000000</v>
      </c>
      <c r="I52" s="37"/>
    </row>
    <row r="65" spans="1:9">
      <c r="A65" s="684" t="s">
        <v>659</v>
      </c>
      <c r="B65" s="684"/>
      <c r="C65" s="684"/>
      <c r="D65" s="684"/>
      <c r="E65" s="684"/>
      <c r="F65" s="684"/>
      <c r="G65" s="684"/>
      <c r="H65" s="684"/>
      <c r="I65" s="684"/>
    </row>
    <row r="66" spans="1:9">
      <c r="A66" s="684" t="s">
        <v>660</v>
      </c>
      <c r="B66" s="684"/>
      <c r="C66" s="684"/>
      <c r="D66" s="684"/>
      <c r="E66" s="684"/>
      <c r="F66" s="684"/>
      <c r="G66" s="684"/>
      <c r="H66" s="684"/>
      <c r="I66" s="684"/>
    </row>
    <row r="67" spans="1:9">
      <c r="A67" s="684" t="s">
        <v>168</v>
      </c>
      <c r="B67" s="684"/>
      <c r="C67" s="684"/>
      <c r="D67" s="684"/>
      <c r="E67" s="684"/>
      <c r="F67" s="684"/>
      <c r="G67" s="684"/>
      <c r="H67" s="684"/>
      <c r="I67" s="684"/>
    </row>
    <row r="68" spans="1:9">
      <c r="A68" s="290"/>
      <c r="B68" s="290"/>
      <c r="C68" s="290"/>
      <c r="D68" s="290"/>
      <c r="E68" s="290"/>
      <c r="F68" s="622"/>
      <c r="G68" s="290"/>
      <c r="H68" s="290"/>
      <c r="I68" s="112"/>
    </row>
    <row r="69" spans="1:9">
      <c r="A69" s="104" t="s">
        <v>480</v>
      </c>
      <c r="B69" s="104"/>
      <c r="C69" s="104"/>
      <c r="D69" s="104"/>
      <c r="E69" s="104"/>
      <c r="F69" s="104"/>
      <c r="G69" s="104"/>
      <c r="H69" s="105"/>
      <c r="I69" s="112"/>
    </row>
    <row r="70" spans="1:9">
      <c r="A70" s="105"/>
      <c r="B70" s="290"/>
      <c r="C70" s="105"/>
      <c r="D70" s="105"/>
      <c r="E70" s="105"/>
      <c r="F70" s="105"/>
      <c r="G70" s="105"/>
      <c r="H70" s="105"/>
      <c r="I70" s="112"/>
    </row>
    <row r="71" spans="1:9">
      <c r="A71" s="106" t="s">
        <v>481</v>
      </c>
      <c r="B71" s="106"/>
      <c r="C71" s="106"/>
      <c r="D71" s="105"/>
      <c r="E71" s="105"/>
      <c r="F71" s="105"/>
      <c r="G71" s="105"/>
      <c r="H71" s="105"/>
      <c r="I71" s="112"/>
    </row>
    <row r="72" spans="1:9" ht="30.75" customHeight="1">
      <c r="A72" s="58" t="s">
        <v>0</v>
      </c>
      <c r="B72" s="107" t="s">
        <v>38</v>
      </c>
      <c r="C72" s="107" t="s">
        <v>39</v>
      </c>
      <c r="D72" s="107" t="s">
        <v>212</v>
      </c>
      <c r="E72" s="107" t="s">
        <v>466</v>
      </c>
      <c r="F72" s="107" t="s">
        <v>777</v>
      </c>
      <c r="G72" s="108" t="s">
        <v>40</v>
      </c>
      <c r="H72" s="108" t="s">
        <v>492</v>
      </c>
      <c r="I72" s="108" t="s">
        <v>311</v>
      </c>
    </row>
    <row r="73" spans="1:9">
      <c r="A73" s="36">
        <v>1</v>
      </c>
      <c r="B73" s="59">
        <v>22020102</v>
      </c>
      <c r="C73" s="52" t="s">
        <v>215</v>
      </c>
      <c r="D73" s="97">
        <v>3000000</v>
      </c>
      <c r="E73" s="253">
        <v>0</v>
      </c>
      <c r="F73" s="253">
        <v>0</v>
      </c>
      <c r="G73" s="41">
        <v>1000000</v>
      </c>
      <c r="H73" s="41">
        <f>D73+G73</f>
        <v>4000000</v>
      </c>
      <c r="I73" s="171" t="s">
        <v>310</v>
      </c>
    </row>
    <row r="74" spans="1:9">
      <c r="A74" s="36">
        <v>2</v>
      </c>
      <c r="B74" s="59">
        <v>22020201</v>
      </c>
      <c r="C74" s="52" t="s">
        <v>471</v>
      </c>
      <c r="D74" s="97">
        <v>1000000</v>
      </c>
      <c r="E74" s="253">
        <v>0</v>
      </c>
      <c r="F74" s="253">
        <v>0</v>
      </c>
      <c r="G74" s="41">
        <v>0</v>
      </c>
      <c r="H74" s="41">
        <f t="shared" ref="H74:H82" si="2">D74+G74</f>
        <v>1000000</v>
      </c>
      <c r="I74" s="171"/>
    </row>
    <row r="75" spans="1:9">
      <c r="A75" s="36">
        <v>3</v>
      </c>
      <c r="B75" s="59">
        <v>22020202</v>
      </c>
      <c r="C75" s="52" t="s">
        <v>216</v>
      </c>
      <c r="D75" s="97">
        <v>100000</v>
      </c>
      <c r="E75" s="253">
        <v>0</v>
      </c>
      <c r="F75" s="253">
        <v>0</v>
      </c>
      <c r="G75" s="41">
        <v>120000</v>
      </c>
      <c r="H75" s="41">
        <f t="shared" si="2"/>
        <v>220000</v>
      </c>
      <c r="I75" s="171" t="s">
        <v>310</v>
      </c>
    </row>
    <row r="76" spans="1:9" ht="24.75">
      <c r="A76" s="36">
        <v>4</v>
      </c>
      <c r="B76" s="59">
        <v>22020301</v>
      </c>
      <c r="C76" s="52" t="s">
        <v>219</v>
      </c>
      <c r="D76" s="97">
        <v>1410000</v>
      </c>
      <c r="E76" s="253">
        <v>0</v>
      </c>
      <c r="F76" s="253">
        <v>0</v>
      </c>
      <c r="G76" s="41">
        <v>90000</v>
      </c>
      <c r="H76" s="41">
        <f t="shared" si="2"/>
        <v>1500000</v>
      </c>
      <c r="I76" s="171" t="s">
        <v>310</v>
      </c>
    </row>
    <row r="77" spans="1:9">
      <c r="A77" s="36">
        <v>5</v>
      </c>
      <c r="B77" s="59">
        <v>22020305</v>
      </c>
      <c r="C77" s="52" t="s">
        <v>788</v>
      </c>
      <c r="D77" s="97">
        <v>300000</v>
      </c>
      <c r="E77" s="253">
        <v>0</v>
      </c>
      <c r="F77" s="253">
        <v>0</v>
      </c>
      <c r="G77" s="41">
        <v>100000</v>
      </c>
      <c r="H77" s="41">
        <f t="shared" si="2"/>
        <v>400000</v>
      </c>
      <c r="I77" s="171" t="s">
        <v>310</v>
      </c>
    </row>
    <row r="78" spans="1:9" ht="24.75">
      <c r="A78" s="36">
        <v>6</v>
      </c>
      <c r="B78" s="59">
        <v>22020401</v>
      </c>
      <c r="C78" s="52" t="s">
        <v>221</v>
      </c>
      <c r="D78" s="97">
        <v>1000000</v>
      </c>
      <c r="E78" s="253">
        <v>0</v>
      </c>
      <c r="F78" s="253">
        <v>0</v>
      </c>
      <c r="G78" s="41">
        <v>910000</v>
      </c>
      <c r="H78" s="41">
        <f t="shared" si="2"/>
        <v>1910000</v>
      </c>
      <c r="I78" s="171" t="s">
        <v>310</v>
      </c>
    </row>
    <row r="79" spans="1:9">
      <c r="A79" s="36">
        <v>7</v>
      </c>
      <c r="B79" s="59">
        <v>22020402</v>
      </c>
      <c r="C79" s="52" t="s">
        <v>222</v>
      </c>
      <c r="D79" s="97">
        <v>1500000</v>
      </c>
      <c r="E79" s="253">
        <v>0</v>
      </c>
      <c r="F79" s="253">
        <v>0</v>
      </c>
      <c r="G79" s="41">
        <v>0</v>
      </c>
      <c r="H79" s="41">
        <f t="shared" si="2"/>
        <v>1500000</v>
      </c>
      <c r="I79" s="171"/>
    </row>
    <row r="80" spans="1:9">
      <c r="A80" s="36">
        <v>8</v>
      </c>
      <c r="B80" s="59">
        <v>22020501</v>
      </c>
      <c r="C80" s="52" t="s">
        <v>473</v>
      </c>
      <c r="D80" s="97">
        <v>1100000</v>
      </c>
      <c r="E80" s="253">
        <v>0</v>
      </c>
      <c r="F80" s="253">
        <v>0</v>
      </c>
      <c r="G80" s="41">
        <v>250000</v>
      </c>
      <c r="H80" s="41">
        <f t="shared" si="2"/>
        <v>1350000</v>
      </c>
      <c r="I80" s="171" t="s">
        <v>310</v>
      </c>
    </row>
    <row r="81" spans="1:13">
      <c r="A81" s="36">
        <v>9</v>
      </c>
      <c r="B81" s="59">
        <v>22021001</v>
      </c>
      <c r="C81" s="52" t="s">
        <v>223</v>
      </c>
      <c r="D81" s="97">
        <v>200000</v>
      </c>
      <c r="E81" s="253">
        <v>0</v>
      </c>
      <c r="F81" s="253">
        <v>0</v>
      </c>
      <c r="G81" s="41">
        <v>0</v>
      </c>
      <c r="H81" s="41">
        <f t="shared" si="2"/>
        <v>200000</v>
      </c>
      <c r="I81" s="171"/>
    </row>
    <row r="82" spans="1:13">
      <c r="A82" s="36">
        <v>10</v>
      </c>
      <c r="B82" s="59">
        <v>22021007</v>
      </c>
      <c r="C82" s="52" t="s">
        <v>474</v>
      </c>
      <c r="D82" s="97">
        <v>200000</v>
      </c>
      <c r="E82" s="253">
        <v>0</v>
      </c>
      <c r="F82" s="253">
        <v>0</v>
      </c>
      <c r="G82" s="41">
        <v>720000</v>
      </c>
      <c r="H82" s="41">
        <f t="shared" si="2"/>
        <v>920000</v>
      </c>
      <c r="I82" s="171" t="s">
        <v>310</v>
      </c>
      <c r="M82" s="3"/>
    </row>
    <row r="83" spans="1:13">
      <c r="A83" s="45"/>
      <c r="B83" s="44"/>
      <c r="C83" s="258" t="s">
        <v>41</v>
      </c>
      <c r="D83" s="259">
        <f>SUM(D73:D82)</f>
        <v>9810000</v>
      </c>
      <c r="E83" s="120">
        <v>6250000</v>
      </c>
      <c r="F83" s="253">
        <v>0</v>
      </c>
      <c r="G83" s="260">
        <f>SUM(G73:G82)</f>
        <v>3190000</v>
      </c>
      <c r="H83" s="260">
        <f>SUM(H73:H82)</f>
        <v>13000000</v>
      </c>
      <c r="I83" s="37"/>
    </row>
    <row r="85" spans="1:13">
      <c r="G85" s="645"/>
    </row>
    <row r="97" spans="1:9">
      <c r="A97" s="684" t="s">
        <v>659</v>
      </c>
      <c r="B97" s="684"/>
      <c r="C97" s="684"/>
      <c r="D97" s="684"/>
      <c r="E97" s="684"/>
      <c r="F97" s="684"/>
      <c r="G97" s="684"/>
      <c r="H97" s="684"/>
      <c r="I97" s="684"/>
    </row>
    <row r="98" spans="1:9">
      <c r="A98" s="684" t="s">
        <v>660</v>
      </c>
      <c r="B98" s="684"/>
      <c r="C98" s="684"/>
      <c r="D98" s="684"/>
      <c r="E98" s="684"/>
      <c r="F98" s="684"/>
      <c r="G98" s="684"/>
      <c r="H98" s="684"/>
      <c r="I98" s="684"/>
    </row>
    <row r="99" spans="1:9">
      <c r="A99" s="684" t="s">
        <v>37</v>
      </c>
      <c r="B99" s="684"/>
      <c r="C99" s="684"/>
      <c r="D99" s="684"/>
      <c r="E99" s="684"/>
      <c r="F99" s="684"/>
      <c r="G99" s="684"/>
      <c r="H99" s="684"/>
      <c r="I99" s="684"/>
    </row>
    <row r="100" spans="1:9">
      <c r="A100" s="240"/>
      <c r="B100" s="240"/>
      <c r="C100" s="240"/>
      <c r="D100" s="240"/>
      <c r="E100" s="240"/>
      <c r="F100" s="622"/>
      <c r="G100" s="240"/>
      <c r="H100" s="240"/>
    </row>
    <row r="101" spans="1:9">
      <c r="A101" s="104" t="s">
        <v>482</v>
      </c>
      <c r="B101" s="104"/>
      <c r="C101" s="104"/>
      <c r="D101" s="104"/>
      <c r="E101" s="104"/>
      <c r="F101" s="104"/>
      <c r="G101" s="104"/>
      <c r="H101" s="105"/>
    </row>
    <row r="102" spans="1:9">
      <c r="A102" s="105"/>
      <c r="B102" s="240"/>
      <c r="C102" s="105"/>
      <c r="D102" s="105"/>
      <c r="E102" s="105"/>
      <c r="F102" s="105"/>
      <c r="G102" s="105"/>
      <c r="H102" s="105"/>
    </row>
    <row r="103" spans="1:9">
      <c r="A103" s="106" t="s">
        <v>483</v>
      </c>
      <c r="B103" s="106"/>
      <c r="C103" s="106"/>
      <c r="D103" s="105"/>
      <c r="E103" s="105"/>
      <c r="F103" s="105"/>
      <c r="G103" s="105"/>
      <c r="H103" s="105"/>
    </row>
    <row r="104" spans="1:9" ht="27.75" customHeight="1">
      <c r="A104" s="58" t="s">
        <v>0</v>
      </c>
      <c r="B104" s="107" t="s">
        <v>38</v>
      </c>
      <c r="C104" s="107" t="s">
        <v>39</v>
      </c>
      <c r="D104" s="107" t="s">
        <v>212</v>
      </c>
      <c r="E104" s="107" t="s">
        <v>466</v>
      </c>
      <c r="F104" s="107" t="s">
        <v>777</v>
      </c>
      <c r="G104" s="108" t="s">
        <v>40</v>
      </c>
      <c r="H104" s="108" t="s">
        <v>492</v>
      </c>
      <c r="I104" s="108" t="s">
        <v>311</v>
      </c>
    </row>
    <row r="105" spans="1:9">
      <c r="A105" s="36">
        <v>1</v>
      </c>
      <c r="B105" s="92">
        <v>22100202</v>
      </c>
      <c r="C105" s="93" t="s">
        <v>441</v>
      </c>
      <c r="D105" s="94">
        <v>50000000</v>
      </c>
      <c r="E105" s="235">
        <v>0</v>
      </c>
      <c r="F105" s="235">
        <v>0</v>
      </c>
      <c r="G105" s="43">
        <v>0</v>
      </c>
      <c r="H105" s="41">
        <f t="shared" ref="H105:H111" si="3">D105+G105</f>
        <v>50000000</v>
      </c>
      <c r="I105" s="37"/>
    </row>
    <row r="106" spans="1:9">
      <c r="A106" s="36">
        <v>2</v>
      </c>
      <c r="B106" s="92">
        <v>22100204</v>
      </c>
      <c r="C106" s="93" t="s">
        <v>242</v>
      </c>
      <c r="D106" s="94">
        <v>10000000</v>
      </c>
      <c r="E106" s="235">
        <v>0</v>
      </c>
      <c r="F106" s="235">
        <v>0</v>
      </c>
      <c r="G106" s="43">
        <v>0</v>
      </c>
      <c r="H106" s="41">
        <f t="shared" si="3"/>
        <v>10000000</v>
      </c>
      <c r="I106" s="37"/>
    </row>
    <row r="107" spans="1:9">
      <c r="A107" s="36">
        <v>3</v>
      </c>
      <c r="B107" s="92">
        <v>22100206</v>
      </c>
      <c r="C107" s="93" t="s">
        <v>442</v>
      </c>
      <c r="D107" s="94">
        <v>25000000</v>
      </c>
      <c r="E107" s="235">
        <v>0</v>
      </c>
      <c r="F107" s="235">
        <v>0</v>
      </c>
      <c r="G107" s="43">
        <v>0</v>
      </c>
      <c r="H107" s="41">
        <f t="shared" si="3"/>
        <v>25000000</v>
      </c>
      <c r="I107" s="37"/>
    </row>
    <row r="108" spans="1:9">
      <c r="A108" s="36">
        <v>4</v>
      </c>
      <c r="B108" s="92">
        <v>22100211</v>
      </c>
      <c r="C108" s="93" t="s">
        <v>443</v>
      </c>
      <c r="D108" s="94">
        <v>10000000</v>
      </c>
      <c r="E108" s="235">
        <v>0</v>
      </c>
      <c r="F108" s="235">
        <v>0</v>
      </c>
      <c r="G108" s="43">
        <v>0</v>
      </c>
      <c r="H108" s="41">
        <f t="shared" si="3"/>
        <v>10000000</v>
      </c>
      <c r="I108" s="37"/>
    </row>
    <row r="109" spans="1:9" ht="23.25">
      <c r="A109" s="36">
        <v>5</v>
      </c>
      <c r="B109" s="92">
        <v>22100212</v>
      </c>
      <c r="C109" s="93" t="s">
        <v>444</v>
      </c>
      <c r="D109" s="94">
        <v>65000000</v>
      </c>
      <c r="E109" s="235">
        <v>64318650</v>
      </c>
      <c r="F109" s="235">
        <v>0</v>
      </c>
      <c r="G109" s="43">
        <v>25000000</v>
      </c>
      <c r="H109" s="41">
        <f t="shared" si="3"/>
        <v>90000000</v>
      </c>
      <c r="I109" s="37" t="s">
        <v>310</v>
      </c>
    </row>
    <row r="110" spans="1:9">
      <c r="A110" s="36">
        <v>6</v>
      </c>
      <c r="B110" s="92">
        <v>22100213</v>
      </c>
      <c r="C110" s="93" t="s">
        <v>445</v>
      </c>
      <c r="D110" s="94">
        <v>20000000</v>
      </c>
      <c r="E110" s="235">
        <v>0</v>
      </c>
      <c r="F110" s="235">
        <v>0</v>
      </c>
      <c r="G110" s="43">
        <v>0</v>
      </c>
      <c r="H110" s="41">
        <f t="shared" si="3"/>
        <v>20000000</v>
      </c>
      <c r="I110" s="37"/>
    </row>
    <row r="111" spans="1:9" ht="22.5" customHeight="1">
      <c r="A111" s="36">
        <v>7</v>
      </c>
      <c r="B111" s="92">
        <v>22100214</v>
      </c>
      <c r="C111" s="93" t="s">
        <v>446</v>
      </c>
      <c r="D111" s="94">
        <v>20000000</v>
      </c>
      <c r="E111" s="234">
        <v>18021000</v>
      </c>
      <c r="F111" s="235">
        <v>0</v>
      </c>
      <c r="G111" s="43">
        <v>5000000</v>
      </c>
      <c r="H111" s="41">
        <f t="shared" si="3"/>
        <v>25000000</v>
      </c>
      <c r="I111" s="37" t="s">
        <v>310</v>
      </c>
    </row>
    <row r="112" spans="1:9">
      <c r="A112" s="37"/>
      <c r="B112" s="44"/>
      <c r="C112" s="239" t="s">
        <v>41</v>
      </c>
      <c r="D112" s="261">
        <f>SUM(D105:D111)</f>
        <v>200000000</v>
      </c>
      <c r="E112" s="102">
        <f>SUM(E105:E111)</f>
        <v>82339650</v>
      </c>
      <c r="F112" s="235">
        <v>0</v>
      </c>
      <c r="G112" s="102">
        <f>SUM(G105:G111)</f>
        <v>30000000</v>
      </c>
      <c r="H112" s="102">
        <f>SUM(H105:H111)</f>
        <v>230000000</v>
      </c>
      <c r="I112" s="37"/>
    </row>
    <row r="129" spans="1:9">
      <c r="A129" s="684" t="s">
        <v>659</v>
      </c>
      <c r="B129" s="684"/>
      <c r="C129" s="684"/>
      <c r="D129" s="684"/>
      <c r="E129" s="684"/>
      <c r="F129" s="684"/>
      <c r="G129" s="684"/>
      <c r="H129" s="684"/>
      <c r="I129" s="684"/>
    </row>
    <row r="130" spans="1:9">
      <c r="A130" s="684" t="s">
        <v>660</v>
      </c>
      <c r="B130" s="684"/>
      <c r="C130" s="684"/>
      <c r="D130" s="684"/>
      <c r="E130" s="684"/>
      <c r="F130" s="684"/>
      <c r="G130" s="684"/>
      <c r="H130" s="684"/>
      <c r="I130" s="684"/>
    </row>
    <row r="131" spans="1:9">
      <c r="A131" s="684" t="s">
        <v>37</v>
      </c>
      <c r="B131" s="684"/>
      <c r="C131" s="684"/>
      <c r="D131" s="684"/>
      <c r="E131" s="684"/>
      <c r="F131" s="684"/>
      <c r="G131" s="684"/>
      <c r="H131" s="684"/>
      <c r="I131" s="684"/>
    </row>
    <row r="132" spans="1:9">
      <c r="A132" s="240"/>
      <c r="B132" s="240"/>
      <c r="C132" s="240"/>
      <c r="D132" s="240"/>
      <c r="E132" s="240"/>
      <c r="F132" s="622"/>
      <c r="G132" s="240"/>
      <c r="H132" s="240"/>
    </row>
    <row r="133" spans="1:9">
      <c r="A133" s="119" t="s">
        <v>772</v>
      </c>
      <c r="B133" s="104"/>
      <c r="C133" s="104"/>
      <c r="D133" s="104"/>
      <c r="E133" s="104"/>
      <c r="F133" s="104"/>
      <c r="G133" s="104"/>
      <c r="H133" s="105"/>
    </row>
    <row r="134" spans="1:9">
      <c r="A134" s="105"/>
      <c r="B134" s="240"/>
      <c r="C134" s="105"/>
      <c r="D134" s="105"/>
      <c r="E134" s="105"/>
      <c r="F134" s="105"/>
      <c r="G134" s="105"/>
      <c r="H134" s="105"/>
    </row>
    <row r="135" spans="1:9">
      <c r="A135" s="106" t="s">
        <v>484</v>
      </c>
      <c r="B135" s="106"/>
      <c r="C135" s="106"/>
      <c r="D135" s="105"/>
      <c r="E135" s="105"/>
      <c r="F135" s="105"/>
      <c r="G135" s="105"/>
      <c r="H135" s="105"/>
    </row>
    <row r="136" spans="1:9" ht="27" customHeight="1">
      <c r="A136" s="58" t="s">
        <v>0</v>
      </c>
      <c r="B136" s="107" t="s">
        <v>38</v>
      </c>
      <c r="C136" s="107" t="s">
        <v>39</v>
      </c>
      <c r="D136" s="107" t="s">
        <v>212</v>
      </c>
      <c r="E136" s="107" t="s">
        <v>466</v>
      </c>
      <c r="F136" s="107" t="s">
        <v>777</v>
      </c>
      <c r="G136" s="108" t="s">
        <v>40</v>
      </c>
      <c r="H136" s="108" t="s">
        <v>492</v>
      </c>
      <c r="I136" s="108" t="s">
        <v>311</v>
      </c>
    </row>
    <row r="137" spans="1:9" ht="23.25">
      <c r="A137" s="36">
        <v>1</v>
      </c>
      <c r="B137" s="92">
        <v>22100221</v>
      </c>
      <c r="C137" s="93" t="s">
        <v>409</v>
      </c>
      <c r="D137" s="94">
        <v>119000000</v>
      </c>
      <c r="E137" s="307">
        <v>76568000</v>
      </c>
      <c r="F137" s="633">
        <v>0</v>
      </c>
      <c r="G137" s="43">
        <v>2000000</v>
      </c>
      <c r="H137" s="101">
        <f>D137+G137</f>
        <v>121000000</v>
      </c>
      <c r="I137" s="37" t="s">
        <v>310</v>
      </c>
    </row>
    <row r="138" spans="1:9" ht="23.25">
      <c r="A138" s="36">
        <v>2</v>
      </c>
      <c r="B138" s="92">
        <v>22100222</v>
      </c>
      <c r="C138" s="93" t="s">
        <v>410</v>
      </c>
      <c r="D138" s="94">
        <v>50000000</v>
      </c>
      <c r="E138" s="241">
        <v>48481206.740000002</v>
      </c>
      <c r="F138" s="633">
        <v>0</v>
      </c>
      <c r="G138" s="43">
        <v>28000000</v>
      </c>
      <c r="H138" s="101">
        <f>D138+G138</f>
        <v>78000000</v>
      </c>
      <c r="I138" s="37" t="s">
        <v>310</v>
      </c>
    </row>
    <row r="139" spans="1:9">
      <c r="A139" s="37"/>
      <c r="B139" s="44"/>
      <c r="C139" s="262" t="s">
        <v>41</v>
      </c>
      <c r="D139" s="102">
        <f>SUM(D137:D138)</f>
        <v>169000000</v>
      </c>
      <c r="E139" s="233">
        <f>SUM(E137:E138)</f>
        <v>125049206.74000001</v>
      </c>
      <c r="F139" s="233">
        <v>0</v>
      </c>
      <c r="G139" s="102">
        <f>SUM(G137:G138)</f>
        <v>30000000</v>
      </c>
      <c r="H139" s="102">
        <f>SUM(H137:H138)</f>
        <v>199000000</v>
      </c>
      <c r="I139" s="37"/>
    </row>
    <row r="161" spans="1:9">
      <c r="A161" s="684" t="s">
        <v>659</v>
      </c>
      <c r="B161" s="684"/>
      <c r="C161" s="684"/>
      <c r="D161" s="684"/>
      <c r="E161" s="684"/>
      <c r="F161" s="684"/>
      <c r="G161" s="684"/>
      <c r="H161" s="684"/>
      <c r="I161" s="684"/>
    </row>
    <row r="162" spans="1:9">
      <c r="A162" s="684" t="s">
        <v>660</v>
      </c>
      <c r="B162" s="684"/>
      <c r="C162" s="684"/>
      <c r="D162" s="684"/>
      <c r="E162" s="684"/>
      <c r="F162" s="684"/>
      <c r="G162" s="684"/>
      <c r="H162" s="684"/>
      <c r="I162" s="684"/>
    </row>
    <row r="163" spans="1:9">
      <c r="A163" s="684" t="s">
        <v>37</v>
      </c>
      <c r="B163" s="684"/>
      <c r="C163" s="684"/>
      <c r="D163" s="684"/>
      <c r="E163" s="684"/>
      <c r="F163" s="684"/>
      <c r="G163" s="684"/>
      <c r="H163" s="684"/>
      <c r="I163" s="684"/>
    </row>
    <row r="164" spans="1:9">
      <c r="A164" s="240"/>
      <c r="B164" s="240"/>
      <c r="C164" s="240"/>
      <c r="D164" s="240"/>
      <c r="E164" s="240"/>
      <c r="F164" s="622"/>
      <c r="G164" s="240"/>
      <c r="H164" s="240"/>
    </row>
    <row r="165" spans="1:9">
      <c r="A165" s="119" t="s">
        <v>773</v>
      </c>
      <c r="B165" s="104"/>
      <c r="C165" s="104"/>
      <c r="D165" s="104"/>
      <c r="E165" s="104"/>
      <c r="F165" s="104"/>
      <c r="G165" s="104"/>
      <c r="H165" s="105"/>
    </row>
    <row r="166" spans="1:9">
      <c r="A166" s="105"/>
      <c r="B166" s="240"/>
      <c r="C166" s="105"/>
      <c r="D166" s="105"/>
      <c r="E166" s="105"/>
      <c r="F166" s="105"/>
      <c r="G166" s="105"/>
      <c r="H166" s="105"/>
    </row>
    <row r="167" spans="1:9">
      <c r="A167" s="106" t="s">
        <v>490</v>
      </c>
      <c r="B167" s="106"/>
      <c r="C167" s="106"/>
      <c r="D167" s="105"/>
      <c r="E167" s="105"/>
      <c r="F167" s="105"/>
      <c r="G167" s="105"/>
      <c r="H167" s="105"/>
    </row>
    <row r="168" spans="1:9" ht="36.75">
      <c r="A168" s="58" t="s">
        <v>0</v>
      </c>
      <c r="B168" s="107" t="s">
        <v>38</v>
      </c>
      <c r="C168" s="107" t="s">
        <v>39</v>
      </c>
      <c r="D168" s="107" t="s">
        <v>212</v>
      </c>
      <c r="E168" s="107" t="s">
        <v>466</v>
      </c>
      <c r="F168" s="107" t="s">
        <v>777</v>
      </c>
      <c r="G168" s="108" t="s">
        <v>40</v>
      </c>
      <c r="H168" s="108" t="s">
        <v>492</v>
      </c>
      <c r="I168" s="108" t="s">
        <v>311</v>
      </c>
    </row>
    <row r="169" spans="1:9" ht="23.25">
      <c r="A169" s="36">
        <v>1</v>
      </c>
      <c r="B169" s="92">
        <v>22100207</v>
      </c>
      <c r="C169" s="93" t="s">
        <v>525</v>
      </c>
      <c r="D169" s="94">
        <v>7000000</v>
      </c>
      <c r="E169" s="96">
        <v>0</v>
      </c>
      <c r="F169" s="96">
        <v>0</v>
      </c>
      <c r="G169" s="43">
        <v>0</v>
      </c>
      <c r="H169" s="41">
        <f>D169+G169</f>
        <v>7000000</v>
      </c>
      <c r="I169" s="37"/>
    </row>
    <row r="170" spans="1:9" ht="23.25">
      <c r="A170" s="36">
        <v>2</v>
      </c>
      <c r="B170" s="92">
        <v>22100248</v>
      </c>
      <c r="C170" s="93" t="s">
        <v>526</v>
      </c>
      <c r="D170" s="94">
        <v>18000000</v>
      </c>
      <c r="E170" s="241">
        <v>11585295</v>
      </c>
      <c r="F170" s="101">
        <v>0</v>
      </c>
      <c r="G170" s="43">
        <v>20000000</v>
      </c>
      <c r="H170" s="41">
        <f>D170+G170</f>
        <v>38000000</v>
      </c>
      <c r="I170" s="37" t="s">
        <v>310</v>
      </c>
    </row>
    <row r="171" spans="1:9">
      <c r="A171" s="37"/>
      <c r="B171" s="44"/>
      <c r="C171" s="262" t="s">
        <v>41</v>
      </c>
      <c r="D171" s="263">
        <f>SUM(D169:D170)</f>
        <v>25000000</v>
      </c>
      <c r="E171" s="102">
        <f>SUM(E169:E170)</f>
        <v>11585295</v>
      </c>
      <c r="F171" s="102">
        <v>0</v>
      </c>
      <c r="G171" s="102">
        <f>SUM(G169:G170)</f>
        <v>20000000</v>
      </c>
      <c r="H171" s="102">
        <f>SUM(H169:H170)</f>
        <v>45000000</v>
      </c>
      <c r="I171" s="37"/>
    </row>
    <row r="193" spans="1:9">
      <c r="A193" s="684" t="s">
        <v>659</v>
      </c>
      <c r="B193" s="684"/>
      <c r="C193" s="684"/>
      <c r="D193" s="684"/>
      <c r="E193" s="684"/>
      <c r="F193" s="684"/>
      <c r="G193" s="684"/>
      <c r="H193" s="684"/>
      <c r="I193" s="684"/>
    </row>
    <row r="194" spans="1:9">
      <c r="A194" s="684" t="s">
        <v>660</v>
      </c>
      <c r="B194" s="684"/>
      <c r="C194" s="684"/>
      <c r="D194" s="684"/>
      <c r="E194" s="684"/>
      <c r="F194" s="684"/>
      <c r="G194" s="684"/>
      <c r="H194" s="684"/>
      <c r="I194" s="684"/>
    </row>
    <row r="195" spans="1:9">
      <c r="A195" s="684" t="s">
        <v>37</v>
      </c>
      <c r="B195" s="684"/>
      <c r="C195" s="684"/>
      <c r="D195" s="684"/>
      <c r="E195" s="684"/>
      <c r="F195" s="684"/>
      <c r="G195" s="684"/>
      <c r="H195" s="684"/>
      <c r="I195" s="684"/>
    </row>
    <row r="196" spans="1:9">
      <c r="A196" s="240"/>
      <c r="B196" s="240"/>
      <c r="C196" s="240"/>
      <c r="D196" s="240"/>
      <c r="E196" s="240"/>
      <c r="F196" s="622"/>
      <c r="G196" s="240"/>
      <c r="H196" s="240"/>
    </row>
    <row r="197" spans="1:9">
      <c r="A197" s="119" t="s">
        <v>774</v>
      </c>
      <c r="B197" s="104"/>
      <c r="C197" s="104"/>
      <c r="D197" s="104"/>
      <c r="E197" s="104"/>
      <c r="F197" s="104"/>
      <c r="G197" s="104"/>
      <c r="H197" s="105"/>
    </row>
    <row r="198" spans="1:9">
      <c r="A198" s="105"/>
      <c r="B198" s="240"/>
      <c r="C198" s="105"/>
      <c r="D198" s="105"/>
      <c r="E198" s="105"/>
      <c r="F198" s="105"/>
      <c r="G198" s="105"/>
      <c r="H198" s="105"/>
    </row>
    <row r="199" spans="1:9">
      <c r="A199" s="106" t="s">
        <v>489</v>
      </c>
      <c r="B199" s="106"/>
      <c r="C199" s="106"/>
      <c r="D199" s="105"/>
      <c r="E199" s="105"/>
      <c r="F199" s="105"/>
      <c r="G199" s="105"/>
      <c r="H199" s="105"/>
    </row>
    <row r="200" spans="1:9" ht="36.75">
      <c r="A200" s="58" t="s">
        <v>0</v>
      </c>
      <c r="B200" s="107" t="s">
        <v>38</v>
      </c>
      <c r="C200" s="107" t="s">
        <v>39</v>
      </c>
      <c r="D200" s="107" t="s">
        <v>212</v>
      </c>
      <c r="E200" s="107" t="s">
        <v>466</v>
      </c>
      <c r="F200" s="107" t="s">
        <v>777</v>
      </c>
      <c r="G200" s="108" t="s">
        <v>40</v>
      </c>
      <c r="H200" s="108" t="s">
        <v>492</v>
      </c>
      <c r="I200" s="108" t="s">
        <v>311</v>
      </c>
    </row>
    <row r="201" spans="1:9">
      <c r="A201" s="36">
        <v>1</v>
      </c>
      <c r="B201" s="92">
        <v>22100330</v>
      </c>
      <c r="C201" s="93" t="s">
        <v>438</v>
      </c>
      <c r="D201" s="94">
        <v>1600000</v>
      </c>
      <c r="E201" s="96">
        <v>0</v>
      </c>
      <c r="F201" s="96">
        <v>0</v>
      </c>
      <c r="G201" s="43">
        <v>0</v>
      </c>
      <c r="H201" s="41">
        <f>D201+G201</f>
        <v>1600000</v>
      </c>
      <c r="I201" s="37"/>
    </row>
    <row r="202" spans="1:9">
      <c r="A202" s="36">
        <v>2</v>
      </c>
      <c r="B202" s="92">
        <v>22100331</v>
      </c>
      <c r="C202" s="93" t="s">
        <v>439</v>
      </c>
      <c r="D202" s="94">
        <v>5500000</v>
      </c>
      <c r="E202" s="95">
        <v>3850200</v>
      </c>
      <c r="F202" s="96">
        <v>0</v>
      </c>
      <c r="G202" s="43">
        <v>2000000</v>
      </c>
      <c r="H202" s="41">
        <f>D202+G202</f>
        <v>7500000</v>
      </c>
      <c r="I202" s="37" t="s">
        <v>310</v>
      </c>
    </row>
    <row r="203" spans="1:9">
      <c r="A203" s="36">
        <v>3</v>
      </c>
      <c r="B203" s="92">
        <v>22100332</v>
      </c>
      <c r="C203" s="93" t="s">
        <v>440</v>
      </c>
      <c r="D203" s="94">
        <v>7900000</v>
      </c>
      <c r="E203" s="95">
        <v>5875290</v>
      </c>
      <c r="F203" s="96">
        <v>0</v>
      </c>
      <c r="G203" s="43">
        <v>2000000</v>
      </c>
      <c r="H203" s="41">
        <f>D203+G203</f>
        <v>9900000</v>
      </c>
      <c r="I203" s="37" t="s">
        <v>310</v>
      </c>
    </row>
    <row r="204" spans="1:9">
      <c r="A204" s="37"/>
      <c r="B204" s="44"/>
      <c r="C204" s="262" t="s">
        <v>41</v>
      </c>
      <c r="D204" s="263">
        <f>SUM(D201:D203)</f>
        <v>15000000</v>
      </c>
      <c r="E204" s="263">
        <f>SUM(E201:E203)</f>
        <v>9725490</v>
      </c>
      <c r="F204" s="96">
        <v>0</v>
      </c>
      <c r="G204" s="102">
        <f>SUM(G201:G203)</f>
        <v>4000000</v>
      </c>
      <c r="H204" s="102">
        <f>SUM(H201:H203)</f>
        <v>19000000</v>
      </c>
      <c r="I204" s="37"/>
    </row>
    <row r="225" spans="1:9">
      <c r="A225" s="684" t="s">
        <v>659</v>
      </c>
      <c r="B225" s="684"/>
      <c r="C225" s="684"/>
      <c r="D225" s="684"/>
      <c r="E225" s="684"/>
      <c r="F225" s="684"/>
      <c r="G225" s="684"/>
      <c r="H225" s="684"/>
      <c r="I225" s="684"/>
    </row>
    <row r="226" spans="1:9">
      <c r="A226" s="684" t="s">
        <v>660</v>
      </c>
      <c r="B226" s="684"/>
      <c r="C226" s="684"/>
      <c r="D226" s="684"/>
      <c r="E226" s="684"/>
      <c r="F226" s="684"/>
      <c r="G226" s="684"/>
      <c r="H226" s="684"/>
      <c r="I226" s="684"/>
    </row>
    <row r="227" spans="1:9">
      <c r="A227" s="684" t="s">
        <v>37</v>
      </c>
      <c r="B227" s="684"/>
      <c r="C227" s="684"/>
      <c r="D227" s="684"/>
      <c r="E227" s="684"/>
      <c r="F227" s="684"/>
      <c r="G227" s="684"/>
      <c r="H227" s="684"/>
      <c r="I227" s="684"/>
    </row>
    <row r="228" spans="1:9">
      <c r="A228" s="103"/>
      <c r="B228" s="103"/>
      <c r="C228" s="103"/>
      <c r="D228" s="103"/>
      <c r="E228" s="103"/>
      <c r="F228" s="622"/>
      <c r="G228" s="103"/>
      <c r="H228" s="103"/>
    </row>
    <row r="229" spans="1:9">
      <c r="A229" s="119" t="s">
        <v>288</v>
      </c>
      <c r="B229" s="104"/>
      <c r="C229" s="104"/>
      <c r="D229" s="104"/>
      <c r="E229" s="104"/>
      <c r="F229" s="104"/>
      <c r="G229" s="104"/>
      <c r="H229" s="105"/>
    </row>
    <row r="230" spans="1:9">
      <c r="A230" s="105"/>
      <c r="B230" s="103"/>
      <c r="C230" s="105"/>
      <c r="D230" s="105"/>
      <c r="E230" s="105"/>
      <c r="F230" s="105"/>
      <c r="G230" s="105"/>
      <c r="H230" s="105"/>
    </row>
    <row r="231" spans="1:9">
      <c r="A231" s="106" t="s">
        <v>289</v>
      </c>
      <c r="B231" s="106"/>
      <c r="C231" s="106"/>
      <c r="D231" s="105"/>
      <c r="E231" s="105"/>
      <c r="F231" s="105"/>
      <c r="G231" s="105"/>
      <c r="H231" s="105"/>
    </row>
    <row r="232" spans="1:9" ht="36.75">
      <c r="A232" s="58" t="s">
        <v>0</v>
      </c>
      <c r="B232" s="107" t="s">
        <v>38</v>
      </c>
      <c r="C232" s="107" t="s">
        <v>39</v>
      </c>
      <c r="D232" s="107" t="s">
        <v>212</v>
      </c>
      <c r="E232" s="107" t="s">
        <v>466</v>
      </c>
      <c r="F232" s="107" t="s">
        <v>777</v>
      </c>
      <c r="G232" s="108" t="s">
        <v>40</v>
      </c>
      <c r="H232" s="108" t="s">
        <v>492</v>
      </c>
      <c r="I232" s="108" t="s">
        <v>311</v>
      </c>
    </row>
    <row r="233" spans="1:9">
      <c r="A233" s="42">
        <v>1</v>
      </c>
      <c r="B233" s="92">
        <v>22100374</v>
      </c>
      <c r="C233" s="93" t="s">
        <v>257</v>
      </c>
      <c r="D233" s="235">
        <v>0</v>
      </c>
      <c r="E233" s="235">
        <v>0</v>
      </c>
      <c r="F233" s="235">
        <v>0</v>
      </c>
      <c r="G233" s="43">
        <v>0</v>
      </c>
      <c r="H233" s="62">
        <f t="shared" ref="H233:H265" si="4">D233+G233</f>
        <v>0</v>
      </c>
      <c r="I233" s="114"/>
    </row>
    <row r="234" spans="1:9">
      <c r="A234" s="42">
        <v>2</v>
      </c>
      <c r="B234" s="92">
        <v>22100375</v>
      </c>
      <c r="C234" s="93" t="s">
        <v>258</v>
      </c>
      <c r="D234" s="94">
        <v>5000000</v>
      </c>
      <c r="E234" s="235">
        <v>0</v>
      </c>
      <c r="F234" s="235">
        <v>0</v>
      </c>
      <c r="G234" s="43">
        <v>0</v>
      </c>
      <c r="H234" s="62">
        <f t="shared" si="4"/>
        <v>5000000</v>
      </c>
      <c r="I234" s="114"/>
    </row>
    <row r="235" spans="1:9">
      <c r="A235" s="42">
        <v>3</v>
      </c>
      <c r="B235" s="92">
        <v>22100376</v>
      </c>
      <c r="C235" s="93" t="s">
        <v>259</v>
      </c>
      <c r="D235" s="94">
        <v>80000000</v>
      </c>
      <c r="E235" s="235">
        <v>0</v>
      </c>
      <c r="F235" s="235">
        <v>0</v>
      </c>
      <c r="G235" s="43">
        <v>70000000</v>
      </c>
      <c r="H235" s="62">
        <f t="shared" si="4"/>
        <v>150000000</v>
      </c>
      <c r="I235" s="114" t="s">
        <v>310</v>
      </c>
    </row>
    <row r="236" spans="1:9">
      <c r="A236" s="42">
        <v>4</v>
      </c>
      <c r="B236" s="92">
        <v>22100377</v>
      </c>
      <c r="C236" s="93" t="s">
        <v>260</v>
      </c>
      <c r="D236" s="94">
        <v>300120000</v>
      </c>
      <c r="E236" s="235">
        <v>0</v>
      </c>
      <c r="F236" s="235">
        <f>D236-H236</f>
        <v>200000000</v>
      </c>
      <c r="G236" s="43">
        <v>0</v>
      </c>
      <c r="H236" s="62">
        <f>D236-200000000</f>
        <v>100120000</v>
      </c>
      <c r="I236" s="114" t="s">
        <v>592</v>
      </c>
    </row>
    <row r="237" spans="1:9" ht="23.25">
      <c r="A237" s="42">
        <v>5</v>
      </c>
      <c r="B237" s="92">
        <v>22100378</v>
      </c>
      <c r="C237" s="93" t="s">
        <v>261</v>
      </c>
      <c r="D237" s="94">
        <v>100000000</v>
      </c>
      <c r="E237" s="235">
        <v>0</v>
      </c>
      <c r="F237" s="235">
        <v>0</v>
      </c>
      <c r="G237" s="43">
        <v>0</v>
      </c>
      <c r="H237" s="62">
        <f t="shared" si="4"/>
        <v>100000000</v>
      </c>
      <c r="I237" s="114"/>
    </row>
    <row r="238" spans="1:9" ht="26.25">
      <c r="A238" s="42">
        <v>6</v>
      </c>
      <c r="B238" s="92">
        <v>22100379</v>
      </c>
      <c r="C238" s="93" t="s">
        <v>262</v>
      </c>
      <c r="D238" s="94">
        <v>70000000</v>
      </c>
      <c r="E238" s="307">
        <v>69836204</v>
      </c>
      <c r="F238" s="235">
        <v>0</v>
      </c>
      <c r="G238" s="43">
        <v>160000000</v>
      </c>
      <c r="H238" s="62">
        <f t="shared" si="4"/>
        <v>230000000</v>
      </c>
      <c r="I238" s="148" t="s">
        <v>342</v>
      </c>
    </row>
    <row r="239" spans="1:9" ht="26.25">
      <c r="A239" s="42">
        <v>7</v>
      </c>
      <c r="B239" s="92">
        <v>22100380</v>
      </c>
      <c r="C239" s="93" t="s">
        <v>263</v>
      </c>
      <c r="D239" s="94">
        <v>95000000</v>
      </c>
      <c r="E239" s="307">
        <v>94889948.670000002</v>
      </c>
      <c r="F239" s="235">
        <v>0</v>
      </c>
      <c r="G239" s="43">
        <v>55000000</v>
      </c>
      <c r="H239" s="62">
        <f t="shared" si="4"/>
        <v>150000000</v>
      </c>
      <c r="I239" s="148" t="s">
        <v>342</v>
      </c>
    </row>
    <row r="240" spans="1:9">
      <c r="A240" s="42">
        <v>8</v>
      </c>
      <c r="B240" s="92">
        <v>22100381</v>
      </c>
      <c r="C240" s="93" t="s">
        <v>264</v>
      </c>
      <c r="D240" s="94">
        <v>3368284300</v>
      </c>
      <c r="E240" s="94"/>
      <c r="F240" s="235">
        <v>0</v>
      </c>
      <c r="G240" s="521">
        <v>1430000000</v>
      </c>
      <c r="H240" s="101">
        <f t="shared" si="4"/>
        <v>4798284300</v>
      </c>
      <c r="I240" s="114" t="s">
        <v>310</v>
      </c>
    </row>
    <row r="241" spans="1:9">
      <c r="A241" s="42">
        <v>9</v>
      </c>
      <c r="B241" s="92">
        <v>22100382</v>
      </c>
      <c r="C241" s="93" t="s">
        <v>265</v>
      </c>
      <c r="D241" s="94">
        <v>6000000</v>
      </c>
      <c r="E241" s="307">
        <v>5975300</v>
      </c>
      <c r="F241" s="235">
        <v>0</v>
      </c>
      <c r="G241" s="43">
        <v>0</v>
      </c>
      <c r="H241" s="62">
        <f t="shared" si="4"/>
        <v>6000000</v>
      </c>
      <c r="I241" s="173"/>
    </row>
    <row r="242" spans="1:9">
      <c r="A242" s="42">
        <v>10</v>
      </c>
      <c r="B242" s="92">
        <v>22100383</v>
      </c>
      <c r="C242" s="93" t="s">
        <v>266</v>
      </c>
      <c r="D242" s="94">
        <v>10000000</v>
      </c>
      <c r="E242" s="307">
        <v>9900000</v>
      </c>
      <c r="F242" s="235">
        <v>0</v>
      </c>
      <c r="G242" s="43">
        <v>0</v>
      </c>
      <c r="H242" s="62">
        <f t="shared" si="4"/>
        <v>10000000</v>
      </c>
      <c r="I242" s="114"/>
    </row>
    <row r="243" spans="1:9" ht="23.25">
      <c r="A243" s="42">
        <v>11</v>
      </c>
      <c r="B243" s="92">
        <v>22100384</v>
      </c>
      <c r="C243" s="93" t="s">
        <v>267</v>
      </c>
      <c r="D243" s="94">
        <v>18000000</v>
      </c>
      <c r="E243" s="241">
        <v>12430568.18</v>
      </c>
      <c r="F243" s="235">
        <v>0</v>
      </c>
      <c r="G243" s="43">
        <v>5000000</v>
      </c>
      <c r="H243" s="62">
        <f t="shared" si="4"/>
        <v>23000000</v>
      </c>
      <c r="I243" s="114" t="s">
        <v>310</v>
      </c>
    </row>
    <row r="244" spans="1:9">
      <c r="A244" s="42">
        <v>12</v>
      </c>
      <c r="B244" s="92">
        <v>22100385</v>
      </c>
      <c r="C244" s="93" t="s">
        <v>268</v>
      </c>
      <c r="D244" s="94">
        <v>10000000</v>
      </c>
      <c r="E244" s="235">
        <v>0</v>
      </c>
      <c r="F244" s="235">
        <v>0</v>
      </c>
      <c r="G244" s="43">
        <v>0</v>
      </c>
      <c r="H244" s="62">
        <f t="shared" si="4"/>
        <v>10000000</v>
      </c>
      <c r="I244" s="114"/>
    </row>
    <row r="245" spans="1:9" ht="23.25">
      <c r="A245" s="42">
        <v>13</v>
      </c>
      <c r="B245" s="92">
        <v>22100386</v>
      </c>
      <c r="C245" s="93" t="s">
        <v>269</v>
      </c>
      <c r="D245" s="94">
        <v>10000000</v>
      </c>
      <c r="E245" s="307">
        <v>9043500</v>
      </c>
      <c r="F245" s="235">
        <v>0</v>
      </c>
      <c r="G245" s="43">
        <v>0</v>
      </c>
      <c r="H245" s="62">
        <f t="shared" si="4"/>
        <v>10000000</v>
      </c>
      <c r="I245" s="173"/>
    </row>
    <row r="246" spans="1:9" ht="23.25">
      <c r="A246" s="42">
        <v>14</v>
      </c>
      <c r="B246" s="92">
        <v>22100387</v>
      </c>
      <c r="C246" s="93" t="s">
        <v>270</v>
      </c>
      <c r="D246" s="94">
        <v>10000000</v>
      </c>
      <c r="E246" s="235">
        <v>0</v>
      </c>
      <c r="F246" s="235">
        <v>0</v>
      </c>
      <c r="G246" s="43">
        <v>0</v>
      </c>
      <c r="H246" s="62">
        <f t="shared" si="4"/>
        <v>10000000</v>
      </c>
      <c r="I246" s="114"/>
    </row>
    <row r="247" spans="1:9">
      <c r="A247" s="42">
        <v>15</v>
      </c>
      <c r="B247" s="92">
        <v>22100388</v>
      </c>
      <c r="C247" s="93" t="s">
        <v>271</v>
      </c>
      <c r="D247" s="94">
        <v>2000000</v>
      </c>
      <c r="E247" s="235">
        <v>0</v>
      </c>
      <c r="F247" s="235">
        <v>0</v>
      </c>
      <c r="G247" s="43">
        <v>0</v>
      </c>
      <c r="H247" s="62">
        <f t="shared" si="4"/>
        <v>2000000</v>
      </c>
      <c r="I247" s="114"/>
    </row>
    <row r="248" spans="1:9">
      <c r="A248" s="42">
        <v>16</v>
      </c>
      <c r="B248" s="92">
        <v>22100389</v>
      </c>
      <c r="C248" s="93" t="s">
        <v>272</v>
      </c>
      <c r="D248" s="94">
        <v>2000000</v>
      </c>
      <c r="E248" s="235">
        <v>0</v>
      </c>
      <c r="F248" s="235">
        <v>0</v>
      </c>
      <c r="G248" s="43">
        <v>0</v>
      </c>
      <c r="H248" s="62">
        <f t="shared" si="4"/>
        <v>2000000</v>
      </c>
      <c r="I248" s="114"/>
    </row>
    <row r="249" spans="1:9" ht="25.5" customHeight="1">
      <c r="A249" s="42">
        <v>17</v>
      </c>
      <c r="B249" s="92">
        <v>22100390</v>
      </c>
      <c r="C249" s="93" t="s">
        <v>273</v>
      </c>
      <c r="D249" s="94">
        <v>12000000</v>
      </c>
      <c r="E249" s="307">
        <v>11027200</v>
      </c>
      <c r="F249" s="235">
        <v>0</v>
      </c>
      <c r="G249" s="43">
        <v>15000000</v>
      </c>
      <c r="H249" s="62">
        <f t="shared" si="4"/>
        <v>27000000</v>
      </c>
      <c r="I249" s="148" t="s">
        <v>342</v>
      </c>
    </row>
    <row r="250" spans="1:9" ht="23.25">
      <c r="A250" s="42">
        <v>18</v>
      </c>
      <c r="B250" s="92">
        <v>22100391</v>
      </c>
      <c r="C250" s="93" t="s">
        <v>274</v>
      </c>
      <c r="D250" s="235">
        <v>0</v>
      </c>
      <c r="E250" s="235">
        <v>0</v>
      </c>
      <c r="F250" s="235">
        <v>0</v>
      </c>
      <c r="G250" s="43">
        <v>0</v>
      </c>
      <c r="H250" s="62">
        <f t="shared" si="4"/>
        <v>0</v>
      </c>
      <c r="I250" s="114"/>
    </row>
    <row r="251" spans="1:9">
      <c r="A251" s="42">
        <v>19</v>
      </c>
      <c r="B251" s="92">
        <v>22100392</v>
      </c>
      <c r="C251" s="93" t="s">
        <v>275</v>
      </c>
      <c r="D251" s="94">
        <v>10000000</v>
      </c>
      <c r="E251" s="235">
        <v>0</v>
      </c>
      <c r="F251" s="235">
        <v>0</v>
      </c>
      <c r="G251" s="43">
        <v>0</v>
      </c>
      <c r="H251" s="62">
        <f t="shared" si="4"/>
        <v>10000000</v>
      </c>
      <c r="I251" s="114"/>
    </row>
    <row r="252" spans="1:9">
      <c r="A252" s="47"/>
      <c r="B252" s="270"/>
      <c r="C252" s="271"/>
      <c r="D252" s="272"/>
      <c r="E252" s="343"/>
      <c r="F252" s="343"/>
      <c r="G252" s="273"/>
      <c r="H252" s="308"/>
      <c r="I252" s="344"/>
    </row>
    <row r="253" spans="1:9" ht="36.75">
      <c r="A253" s="345" t="s">
        <v>0</v>
      </c>
      <c r="B253" s="107" t="s">
        <v>38</v>
      </c>
      <c r="C253" s="107" t="s">
        <v>39</v>
      </c>
      <c r="D253" s="107" t="s">
        <v>212</v>
      </c>
      <c r="E253" s="107" t="s">
        <v>466</v>
      </c>
      <c r="F253" s="107" t="s">
        <v>777</v>
      </c>
      <c r="G253" s="107" t="s">
        <v>40</v>
      </c>
      <c r="H253" s="107" t="s">
        <v>492</v>
      </c>
      <c r="I253" s="107" t="s">
        <v>311</v>
      </c>
    </row>
    <row r="254" spans="1:9" ht="23.25">
      <c r="A254" s="42">
        <v>20</v>
      </c>
      <c r="B254" s="92">
        <v>22100393</v>
      </c>
      <c r="C254" s="93" t="s">
        <v>276</v>
      </c>
      <c r="D254" s="94">
        <v>50000000</v>
      </c>
      <c r="E254" s="307">
        <v>1089933.92</v>
      </c>
      <c r="F254" s="101">
        <v>0</v>
      </c>
      <c r="G254" s="43">
        <v>5000000</v>
      </c>
      <c r="H254" s="62">
        <f t="shared" si="4"/>
        <v>55000000</v>
      </c>
      <c r="I254" s="114" t="s">
        <v>310</v>
      </c>
    </row>
    <row r="255" spans="1:9" ht="23.25">
      <c r="A255" s="42">
        <v>21</v>
      </c>
      <c r="B255" s="92">
        <v>22100394</v>
      </c>
      <c r="C255" s="93" t="s">
        <v>277</v>
      </c>
      <c r="D255" s="94">
        <v>1000000</v>
      </c>
      <c r="E255" s="307">
        <v>285000</v>
      </c>
      <c r="F255" s="101">
        <v>0</v>
      </c>
      <c r="G255" s="43">
        <v>5000000</v>
      </c>
      <c r="H255" s="62">
        <f t="shared" si="4"/>
        <v>6000000</v>
      </c>
      <c r="I255" s="173" t="s">
        <v>310</v>
      </c>
    </row>
    <row r="256" spans="1:9" ht="23.25">
      <c r="A256" s="42">
        <v>22</v>
      </c>
      <c r="B256" s="92">
        <v>22100395</v>
      </c>
      <c r="C256" s="93" t="s">
        <v>278</v>
      </c>
      <c r="D256" s="94">
        <v>1000000</v>
      </c>
      <c r="E256" s="235">
        <v>0</v>
      </c>
      <c r="F256" s="101">
        <v>0</v>
      </c>
      <c r="G256" s="43">
        <v>0</v>
      </c>
      <c r="H256" s="62">
        <f t="shared" si="4"/>
        <v>1000000</v>
      </c>
      <c r="I256" s="114"/>
    </row>
    <row r="257" spans="1:9" ht="23.25">
      <c r="A257" s="42">
        <v>23</v>
      </c>
      <c r="B257" s="92">
        <v>22100396</v>
      </c>
      <c r="C257" s="93" t="s">
        <v>279</v>
      </c>
      <c r="D257" s="94">
        <v>2000000</v>
      </c>
      <c r="E257" s="235">
        <v>0</v>
      </c>
      <c r="F257" s="101">
        <v>0</v>
      </c>
      <c r="G257" s="43">
        <v>0</v>
      </c>
      <c r="H257" s="62">
        <f t="shared" si="4"/>
        <v>2000000</v>
      </c>
      <c r="I257" s="114"/>
    </row>
    <row r="258" spans="1:9">
      <c r="A258" s="42">
        <v>24</v>
      </c>
      <c r="B258" s="92">
        <v>22100397</v>
      </c>
      <c r="C258" s="93" t="s">
        <v>280</v>
      </c>
      <c r="D258" s="235">
        <v>0</v>
      </c>
      <c r="E258" s="235">
        <v>0</v>
      </c>
      <c r="F258" s="101">
        <v>0</v>
      </c>
      <c r="G258" s="43">
        <v>0</v>
      </c>
      <c r="H258" s="62">
        <f t="shared" si="4"/>
        <v>0</v>
      </c>
      <c r="I258" s="114"/>
    </row>
    <row r="259" spans="1:9">
      <c r="A259" s="42">
        <v>25</v>
      </c>
      <c r="B259" s="92">
        <v>22100398</v>
      </c>
      <c r="C259" s="93" t="s">
        <v>281</v>
      </c>
      <c r="D259" s="94">
        <v>2000000</v>
      </c>
      <c r="E259" s="241">
        <v>1735800</v>
      </c>
      <c r="F259" s="101">
        <v>0</v>
      </c>
      <c r="G259" s="43">
        <v>1000000</v>
      </c>
      <c r="H259" s="62">
        <f t="shared" si="4"/>
        <v>3000000</v>
      </c>
      <c r="I259" s="173" t="s">
        <v>310</v>
      </c>
    </row>
    <row r="260" spans="1:9">
      <c r="A260" s="42">
        <v>26</v>
      </c>
      <c r="B260" s="92">
        <v>22100399</v>
      </c>
      <c r="C260" s="93" t="s">
        <v>282</v>
      </c>
      <c r="D260" s="94">
        <v>3000000</v>
      </c>
      <c r="E260" s="235">
        <v>0</v>
      </c>
      <c r="F260" s="101">
        <v>0</v>
      </c>
      <c r="G260" s="43">
        <v>0</v>
      </c>
      <c r="H260" s="62">
        <f t="shared" si="4"/>
        <v>3000000</v>
      </c>
      <c r="I260" s="114"/>
    </row>
    <row r="261" spans="1:9">
      <c r="A261" s="42">
        <v>27</v>
      </c>
      <c r="B261" s="92">
        <v>22100401</v>
      </c>
      <c r="C261" s="93" t="s">
        <v>283</v>
      </c>
      <c r="D261" s="94">
        <v>2000000</v>
      </c>
      <c r="E261" s="235">
        <v>0</v>
      </c>
      <c r="F261" s="101">
        <v>0</v>
      </c>
      <c r="G261" s="43">
        <v>0</v>
      </c>
      <c r="H261" s="62">
        <f t="shared" si="4"/>
        <v>2000000</v>
      </c>
      <c r="I261" s="114"/>
    </row>
    <row r="262" spans="1:9" ht="23.25">
      <c r="A262" s="42">
        <v>28</v>
      </c>
      <c r="B262" s="92">
        <v>22100657</v>
      </c>
      <c r="C262" s="93" t="s">
        <v>284</v>
      </c>
      <c r="D262" s="235">
        <v>0</v>
      </c>
      <c r="E262" s="235">
        <v>0</v>
      </c>
      <c r="F262" s="101">
        <v>0</v>
      </c>
      <c r="G262" s="43">
        <v>0</v>
      </c>
      <c r="H262" s="62">
        <f t="shared" si="4"/>
        <v>0</v>
      </c>
      <c r="I262" s="114"/>
    </row>
    <row r="263" spans="1:9">
      <c r="A263" s="42">
        <v>29</v>
      </c>
      <c r="B263" s="92">
        <v>22100659</v>
      </c>
      <c r="C263" s="93" t="s">
        <v>285</v>
      </c>
      <c r="D263" s="94">
        <v>12000000</v>
      </c>
      <c r="E263" s="235">
        <v>0</v>
      </c>
      <c r="F263" s="101">
        <v>0</v>
      </c>
      <c r="G263" s="43">
        <v>5000000</v>
      </c>
      <c r="H263" s="62">
        <f t="shared" si="4"/>
        <v>17000000</v>
      </c>
      <c r="I263" s="114" t="s">
        <v>310</v>
      </c>
    </row>
    <row r="264" spans="1:9">
      <c r="A264" s="42">
        <v>30</v>
      </c>
      <c r="B264" s="92">
        <v>22100660</v>
      </c>
      <c r="C264" s="93" t="s">
        <v>286</v>
      </c>
      <c r="D264" s="94">
        <v>8000000</v>
      </c>
      <c r="E264" s="235">
        <v>0</v>
      </c>
      <c r="F264" s="101">
        <v>0</v>
      </c>
      <c r="G264" s="43">
        <v>0</v>
      </c>
      <c r="H264" s="62">
        <f t="shared" si="4"/>
        <v>8000000</v>
      </c>
      <c r="I264" s="114"/>
    </row>
    <row r="265" spans="1:9">
      <c r="A265" s="42">
        <v>31</v>
      </c>
      <c r="B265" s="92">
        <v>22100661</v>
      </c>
      <c r="C265" s="93" t="s">
        <v>287</v>
      </c>
      <c r="D265" s="94">
        <v>10000000</v>
      </c>
      <c r="E265" s="235">
        <v>0</v>
      </c>
      <c r="F265" s="101">
        <v>0</v>
      </c>
      <c r="G265" s="43">
        <v>0</v>
      </c>
      <c r="H265" s="62">
        <f t="shared" si="4"/>
        <v>10000000</v>
      </c>
      <c r="I265" s="114"/>
    </row>
    <row r="266" spans="1:9">
      <c r="A266" s="114"/>
      <c r="B266" s="118"/>
      <c r="C266" s="61" t="s">
        <v>41</v>
      </c>
      <c r="D266" s="232">
        <f>SUM(D233:D265)</f>
        <v>4199404300</v>
      </c>
      <c r="E266" s="120">
        <f>SUM(E233:E265)</f>
        <v>216213454.77000001</v>
      </c>
      <c r="F266" s="120">
        <f>SUM(F233:F265)</f>
        <v>200000000</v>
      </c>
      <c r="G266" s="102">
        <f>SUM(G233:G265)</f>
        <v>1751000000</v>
      </c>
      <c r="H266" s="102">
        <f>SUM(H233:H265)</f>
        <v>5750404300</v>
      </c>
      <c r="I266" s="114"/>
    </row>
    <row r="284" spans="1:9">
      <c r="A284" s="684" t="s">
        <v>659</v>
      </c>
      <c r="B284" s="684"/>
      <c r="C284" s="684"/>
      <c r="D284" s="684"/>
      <c r="E284" s="684"/>
      <c r="F284" s="684"/>
      <c r="G284" s="684"/>
      <c r="H284" s="684"/>
      <c r="I284" s="684"/>
    </row>
    <row r="285" spans="1:9">
      <c r="A285" s="684" t="s">
        <v>660</v>
      </c>
      <c r="B285" s="684"/>
      <c r="C285" s="684"/>
      <c r="D285" s="684"/>
      <c r="E285" s="684"/>
      <c r="F285" s="684"/>
      <c r="G285" s="684"/>
      <c r="H285" s="684"/>
      <c r="I285" s="684"/>
    </row>
    <row r="286" spans="1:9">
      <c r="A286" s="684" t="s">
        <v>37</v>
      </c>
      <c r="B286" s="684"/>
      <c r="C286" s="684"/>
      <c r="D286" s="684"/>
      <c r="E286" s="684"/>
      <c r="F286" s="684"/>
      <c r="G286" s="684"/>
      <c r="H286" s="684"/>
      <c r="I286" s="684"/>
    </row>
    <row r="287" spans="1:9">
      <c r="A287" s="240"/>
      <c r="B287" s="240"/>
      <c r="C287" s="240"/>
      <c r="D287" s="240"/>
      <c r="E287" s="240"/>
      <c r="F287" s="622"/>
      <c r="G287" s="240"/>
      <c r="H287" s="240"/>
    </row>
    <row r="288" spans="1:9">
      <c r="A288" s="104" t="s">
        <v>487</v>
      </c>
      <c r="B288" s="104"/>
      <c r="C288" s="104"/>
      <c r="D288" s="104"/>
      <c r="E288" s="104"/>
      <c r="F288" s="104"/>
      <c r="G288" s="104"/>
      <c r="H288" s="105"/>
    </row>
    <row r="289" spans="1:9">
      <c r="A289" s="105"/>
      <c r="B289" s="240"/>
      <c r="C289" s="105"/>
      <c r="D289" s="105"/>
      <c r="E289" s="105"/>
      <c r="F289" s="105"/>
      <c r="G289" s="105"/>
      <c r="H289" s="105"/>
    </row>
    <row r="290" spans="1:9">
      <c r="A290" s="106" t="s">
        <v>488</v>
      </c>
      <c r="B290" s="106"/>
      <c r="C290" s="106"/>
      <c r="D290" s="105"/>
      <c r="E290" s="105"/>
      <c r="F290" s="105"/>
      <c r="G290" s="105"/>
      <c r="H290" s="105"/>
    </row>
    <row r="291" spans="1:9" ht="36.75">
      <c r="A291" s="58" t="s">
        <v>0</v>
      </c>
      <c r="B291" s="107" t="s">
        <v>38</v>
      </c>
      <c r="C291" s="107" t="s">
        <v>39</v>
      </c>
      <c r="D291" s="107" t="s">
        <v>212</v>
      </c>
      <c r="E291" s="107" t="s">
        <v>466</v>
      </c>
      <c r="F291" s="107" t="s">
        <v>777</v>
      </c>
      <c r="G291" s="108" t="s">
        <v>40</v>
      </c>
      <c r="H291" s="108" t="s">
        <v>492</v>
      </c>
      <c r="I291" s="108" t="s">
        <v>311</v>
      </c>
    </row>
    <row r="292" spans="1:9" ht="23.25">
      <c r="A292" s="36">
        <v>1</v>
      </c>
      <c r="B292" s="92">
        <v>22100402</v>
      </c>
      <c r="C292" s="93" t="s">
        <v>415</v>
      </c>
      <c r="D292" s="94">
        <v>10000000</v>
      </c>
      <c r="E292" s="235">
        <v>0</v>
      </c>
      <c r="F292" s="235">
        <v>0</v>
      </c>
      <c r="G292" s="43">
        <v>0</v>
      </c>
      <c r="H292" s="41">
        <f t="shared" ref="H292:H297" si="5">D292+G292</f>
        <v>10000000</v>
      </c>
      <c r="I292" s="37"/>
    </row>
    <row r="293" spans="1:9" ht="23.25">
      <c r="A293" s="36">
        <v>2</v>
      </c>
      <c r="B293" s="92">
        <v>22100403</v>
      </c>
      <c r="C293" s="93" t="s">
        <v>416</v>
      </c>
      <c r="D293" s="94">
        <v>10000000</v>
      </c>
      <c r="E293" s="235">
        <v>0</v>
      </c>
      <c r="F293" s="235">
        <v>0</v>
      </c>
      <c r="G293" s="43">
        <v>0</v>
      </c>
      <c r="H293" s="41">
        <f t="shared" si="5"/>
        <v>10000000</v>
      </c>
      <c r="I293" s="37"/>
    </row>
    <row r="294" spans="1:9">
      <c r="A294" s="36">
        <v>3</v>
      </c>
      <c r="B294" s="92">
        <v>22100404</v>
      </c>
      <c r="C294" s="93" t="s">
        <v>417</v>
      </c>
      <c r="D294" s="94">
        <v>30000000</v>
      </c>
      <c r="E294" s="235">
        <v>0</v>
      </c>
      <c r="F294" s="235">
        <v>0</v>
      </c>
      <c r="G294" s="43">
        <v>0</v>
      </c>
      <c r="H294" s="41">
        <f t="shared" si="5"/>
        <v>30000000</v>
      </c>
      <c r="I294" s="37"/>
    </row>
    <row r="295" spans="1:9">
      <c r="A295" s="36">
        <v>4</v>
      </c>
      <c r="B295" s="92">
        <v>22100405</v>
      </c>
      <c r="C295" s="93" t="s">
        <v>418</v>
      </c>
      <c r="D295" s="94">
        <v>7000000</v>
      </c>
      <c r="E295" s="94">
        <v>5110000</v>
      </c>
      <c r="F295" s="235">
        <v>0</v>
      </c>
      <c r="G295" s="43">
        <v>4000000</v>
      </c>
      <c r="H295" s="41">
        <f t="shared" si="5"/>
        <v>11000000</v>
      </c>
      <c r="I295" s="171" t="s">
        <v>310</v>
      </c>
    </row>
    <row r="296" spans="1:9" ht="23.25">
      <c r="A296" s="36">
        <v>5</v>
      </c>
      <c r="B296" s="92">
        <v>22100406</v>
      </c>
      <c r="C296" s="93" t="s">
        <v>419</v>
      </c>
      <c r="D296" s="94">
        <v>5000000</v>
      </c>
      <c r="E296" s="235">
        <v>0</v>
      </c>
      <c r="F296" s="235">
        <v>0</v>
      </c>
      <c r="G296" s="43">
        <v>0</v>
      </c>
      <c r="H296" s="41">
        <f t="shared" si="5"/>
        <v>5000000</v>
      </c>
      <c r="I296" s="37"/>
    </row>
    <row r="297" spans="1:9" ht="23.25">
      <c r="A297" s="36">
        <v>6</v>
      </c>
      <c r="B297" s="92">
        <v>22100407</v>
      </c>
      <c r="C297" s="93" t="s">
        <v>420</v>
      </c>
      <c r="D297" s="94">
        <v>45000000</v>
      </c>
      <c r="E297" s="235">
        <v>0</v>
      </c>
      <c r="F297" s="235">
        <v>0</v>
      </c>
      <c r="G297" s="43">
        <v>0</v>
      </c>
      <c r="H297" s="41">
        <f t="shared" si="5"/>
        <v>45000000</v>
      </c>
      <c r="I297" s="37"/>
    </row>
    <row r="298" spans="1:9">
      <c r="A298" s="45"/>
      <c r="B298" s="44"/>
      <c r="C298" s="262" t="s">
        <v>41</v>
      </c>
      <c r="D298" s="261">
        <f>SUM(D292:D297)</f>
        <v>107000000</v>
      </c>
      <c r="E298" s="263">
        <f>SUM(E292:E297)</f>
        <v>5110000</v>
      </c>
      <c r="F298" s="235">
        <v>0</v>
      </c>
      <c r="G298" s="263">
        <f>SUM(G292:G297)</f>
        <v>4000000</v>
      </c>
      <c r="H298" s="263">
        <f>SUM(H292:H297)</f>
        <v>111000000</v>
      </c>
      <c r="I298" s="45"/>
    </row>
    <row r="315" spans="1:9">
      <c r="A315" s="684" t="s">
        <v>659</v>
      </c>
      <c r="B315" s="684"/>
      <c r="C315" s="684"/>
      <c r="D315" s="684"/>
      <c r="E315" s="684"/>
      <c r="F315" s="684"/>
      <c r="G315" s="684"/>
      <c r="H315" s="684"/>
      <c r="I315" s="684"/>
    </row>
    <row r="316" spans="1:9">
      <c r="A316" s="684" t="s">
        <v>660</v>
      </c>
      <c r="B316" s="684"/>
      <c r="C316" s="684"/>
      <c r="D316" s="684"/>
      <c r="E316" s="684"/>
      <c r="F316" s="684"/>
      <c r="G316" s="684"/>
      <c r="H316" s="684"/>
      <c r="I316" s="684"/>
    </row>
    <row r="317" spans="1:9">
      <c r="A317" s="684" t="s">
        <v>37</v>
      </c>
      <c r="B317" s="684"/>
      <c r="C317" s="684"/>
      <c r="D317" s="684"/>
      <c r="E317" s="684"/>
      <c r="F317" s="684"/>
      <c r="G317" s="684"/>
      <c r="H317" s="684"/>
      <c r="I317" s="684"/>
    </row>
    <row r="318" spans="1:9">
      <c r="A318" s="325"/>
      <c r="B318" s="325"/>
      <c r="C318" s="325"/>
      <c r="D318" s="325"/>
      <c r="E318" s="325"/>
      <c r="F318" s="622"/>
      <c r="G318" s="325"/>
      <c r="H318" s="325"/>
    </row>
    <row r="319" spans="1:9">
      <c r="A319" s="104" t="s">
        <v>527</v>
      </c>
      <c r="B319" s="104"/>
      <c r="C319" s="104"/>
      <c r="D319" s="104"/>
      <c r="E319" s="104"/>
      <c r="F319" s="104"/>
      <c r="G319" s="104"/>
      <c r="H319" s="105"/>
    </row>
    <row r="320" spans="1:9">
      <c r="A320" s="105"/>
      <c r="B320" s="325"/>
      <c r="C320" s="105"/>
      <c r="D320" s="105"/>
      <c r="E320" s="105"/>
      <c r="F320" s="105"/>
      <c r="G320" s="105"/>
      <c r="H320" s="105"/>
    </row>
    <row r="321" spans="1:9">
      <c r="A321" s="106" t="s">
        <v>528</v>
      </c>
      <c r="B321" s="106"/>
      <c r="C321" s="106"/>
      <c r="D321" s="105"/>
      <c r="E321" s="105"/>
      <c r="F321" s="105"/>
      <c r="G321" s="105"/>
      <c r="H321" s="105"/>
    </row>
    <row r="322" spans="1:9" ht="36.75">
      <c r="A322" s="58" t="s">
        <v>0</v>
      </c>
      <c r="B322" s="107" t="s">
        <v>38</v>
      </c>
      <c r="C322" s="107" t="s">
        <v>39</v>
      </c>
      <c r="D322" s="107" t="s">
        <v>212</v>
      </c>
      <c r="E322" s="107" t="s">
        <v>466</v>
      </c>
      <c r="F322" s="107" t="s">
        <v>777</v>
      </c>
      <c r="G322" s="107" t="s">
        <v>40</v>
      </c>
      <c r="H322" s="107" t="s">
        <v>492</v>
      </c>
      <c r="I322" s="108" t="s">
        <v>311</v>
      </c>
    </row>
    <row r="323" spans="1:9" ht="23.25">
      <c r="A323" s="36">
        <v>1</v>
      </c>
      <c r="B323" s="92">
        <v>22100408</v>
      </c>
      <c r="C323" s="93" t="s">
        <v>529</v>
      </c>
      <c r="D323" s="94">
        <v>12000000</v>
      </c>
      <c r="E323" s="235">
        <v>0</v>
      </c>
      <c r="F323" s="235">
        <v>0</v>
      </c>
      <c r="G323" s="43">
        <v>0</v>
      </c>
      <c r="H323" s="41">
        <f t="shared" ref="H323:H331" si="6">D323+G323</f>
        <v>12000000</v>
      </c>
      <c r="I323" s="37"/>
    </row>
    <row r="324" spans="1:9" ht="34.5">
      <c r="A324" s="36">
        <v>2</v>
      </c>
      <c r="B324" s="92">
        <v>22100409</v>
      </c>
      <c r="C324" s="93" t="s">
        <v>328</v>
      </c>
      <c r="D324" s="94">
        <v>80000000</v>
      </c>
      <c r="E324" s="235">
        <v>0</v>
      </c>
      <c r="F324" s="235">
        <v>0</v>
      </c>
      <c r="G324" s="43">
        <v>0</v>
      </c>
      <c r="H324" s="41">
        <f t="shared" si="6"/>
        <v>80000000</v>
      </c>
      <c r="I324" s="37"/>
    </row>
    <row r="325" spans="1:9">
      <c r="A325" s="36">
        <v>3</v>
      </c>
      <c r="B325" s="92">
        <v>22100410</v>
      </c>
      <c r="C325" s="93" t="s">
        <v>530</v>
      </c>
      <c r="D325" s="94">
        <v>258000000</v>
      </c>
      <c r="E325" s="241">
        <v>256880224.24000001</v>
      </c>
      <c r="F325" s="235">
        <v>0</v>
      </c>
      <c r="G325" s="43">
        <v>200000000</v>
      </c>
      <c r="H325" s="41">
        <f t="shared" si="6"/>
        <v>458000000</v>
      </c>
      <c r="I325" s="171" t="s">
        <v>310</v>
      </c>
    </row>
    <row r="326" spans="1:9">
      <c r="A326" s="36">
        <v>4</v>
      </c>
      <c r="B326" s="92">
        <v>22100411</v>
      </c>
      <c r="C326" s="93" t="s">
        <v>531</v>
      </c>
      <c r="D326" s="94">
        <v>3000000</v>
      </c>
      <c r="E326" s="94"/>
      <c r="F326" s="235">
        <v>0</v>
      </c>
      <c r="G326" s="43"/>
      <c r="H326" s="41">
        <f t="shared" si="6"/>
        <v>3000000</v>
      </c>
      <c r="I326" s="171"/>
    </row>
    <row r="327" spans="1:9">
      <c r="A327" s="36">
        <v>5</v>
      </c>
      <c r="B327" s="92">
        <v>22100412</v>
      </c>
      <c r="C327" s="93" t="s">
        <v>532</v>
      </c>
      <c r="D327" s="94">
        <v>3000000</v>
      </c>
      <c r="E327" s="235">
        <v>0</v>
      </c>
      <c r="F327" s="235">
        <v>0</v>
      </c>
      <c r="G327" s="43">
        <v>0</v>
      </c>
      <c r="H327" s="41">
        <f t="shared" si="6"/>
        <v>3000000</v>
      </c>
      <c r="I327" s="37"/>
    </row>
    <row r="328" spans="1:9" ht="23.25">
      <c r="A328" s="36">
        <v>6</v>
      </c>
      <c r="B328" s="92">
        <v>22100413</v>
      </c>
      <c r="C328" s="93" t="s">
        <v>533</v>
      </c>
      <c r="D328" s="94">
        <v>5000000</v>
      </c>
      <c r="E328" s="235">
        <v>0</v>
      </c>
      <c r="F328" s="235">
        <v>0</v>
      </c>
      <c r="G328" s="43">
        <v>0</v>
      </c>
      <c r="H328" s="41">
        <f t="shared" si="6"/>
        <v>5000000</v>
      </c>
      <c r="I328" s="37"/>
    </row>
    <row r="329" spans="1:9" ht="23.25">
      <c r="A329" s="36">
        <v>7</v>
      </c>
      <c r="B329" s="92">
        <v>22100414</v>
      </c>
      <c r="C329" s="93" t="s">
        <v>534</v>
      </c>
      <c r="D329" s="94">
        <v>25000000</v>
      </c>
      <c r="E329" s="241">
        <v>23873215.199999999</v>
      </c>
      <c r="F329" s="235">
        <v>0</v>
      </c>
      <c r="G329" s="43">
        <v>10000000</v>
      </c>
      <c r="H329" s="41">
        <f t="shared" si="6"/>
        <v>35000000</v>
      </c>
      <c r="I329" s="171" t="s">
        <v>310</v>
      </c>
    </row>
    <row r="330" spans="1:9">
      <c r="A330" s="36">
        <v>8</v>
      </c>
      <c r="B330" s="92">
        <v>22100415</v>
      </c>
      <c r="C330" s="93" t="s">
        <v>535</v>
      </c>
      <c r="D330" s="94">
        <v>10000000</v>
      </c>
      <c r="E330" s="43">
        <v>0</v>
      </c>
      <c r="F330" s="235">
        <v>0</v>
      </c>
      <c r="G330" s="43">
        <v>0</v>
      </c>
      <c r="H330" s="41">
        <f t="shared" si="6"/>
        <v>10000000</v>
      </c>
      <c r="I330" s="45"/>
    </row>
    <row r="331" spans="1:9">
      <c r="A331" s="36">
        <v>9</v>
      </c>
      <c r="B331" s="92">
        <v>22100416</v>
      </c>
      <c r="C331" s="93" t="s">
        <v>536</v>
      </c>
      <c r="D331" s="94">
        <v>4000000</v>
      </c>
      <c r="E331" s="43">
        <v>0</v>
      </c>
      <c r="F331" s="235">
        <v>0</v>
      </c>
      <c r="G331" s="43">
        <v>0</v>
      </c>
      <c r="H331" s="41">
        <f t="shared" si="6"/>
        <v>4000000</v>
      </c>
      <c r="I331" s="45"/>
    </row>
    <row r="332" spans="1:9">
      <c r="A332" s="45"/>
      <c r="B332" s="44"/>
      <c r="C332" s="262" t="s">
        <v>41</v>
      </c>
      <c r="D332" s="261">
        <f>SUM(D323:D331)</f>
        <v>400000000</v>
      </c>
      <c r="E332" s="263">
        <f>SUM(E323:E328)</f>
        <v>256880224.24000001</v>
      </c>
      <c r="F332" s="235">
        <v>0</v>
      </c>
      <c r="G332" s="263">
        <f>SUM(G323:G331)</f>
        <v>210000000</v>
      </c>
      <c r="H332" s="263">
        <f>SUM(H323:H331)</f>
        <v>610000000</v>
      </c>
      <c r="I332" s="45"/>
    </row>
    <row r="345" spans="1:9">
      <c r="A345" s="684" t="s">
        <v>659</v>
      </c>
      <c r="B345" s="684"/>
      <c r="C345" s="684"/>
      <c r="D345" s="684"/>
      <c r="E345" s="684"/>
      <c r="F345" s="684"/>
      <c r="G345" s="684"/>
      <c r="H345" s="684"/>
      <c r="I345" s="684"/>
    </row>
    <row r="346" spans="1:9">
      <c r="A346" s="684" t="s">
        <v>660</v>
      </c>
      <c r="B346" s="684"/>
      <c r="C346" s="684"/>
      <c r="D346" s="684"/>
      <c r="E346" s="684"/>
      <c r="F346" s="684"/>
      <c r="G346" s="684"/>
      <c r="H346" s="684"/>
      <c r="I346" s="684"/>
    </row>
    <row r="347" spans="1:9">
      <c r="A347" s="684" t="s">
        <v>37</v>
      </c>
      <c r="B347" s="684"/>
      <c r="C347" s="684"/>
      <c r="D347" s="684"/>
      <c r="E347" s="684"/>
      <c r="F347" s="684"/>
      <c r="G347" s="684"/>
      <c r="H347" s="684"/>
      <c r="I347" s="684"/>
    </row>
    <row r="348" spans="1:9">
      <c r="A348" s="103"/>
      <c r="B348" s="103"/>
      <c r="C348" s="103"/>
      <c r="D348" s="103"/>
      <c r="E348" s="103"/>
      <c r="F348" s="622"/>
      <c r="G348" s="103"/>
      <c r="H348" s="103"/>
    </row>
    <row r="349" spans="1:9">
      <c r="A349" s="104" t="s">
        <v>351</v>
      </c>
      <c r="B349" s="104"/>
      <c r="C349" s="104"/>
      <c r="D349" s="104"/>
      <c r="E349" s="104"/>
      <c r="F349" s="104"/>
      <c r="G349" s="104"/>
      <c r="H349" s="105"/>
    </row>
    <row r="350" spans="1:9">
      <c r="A350" s="105"/>
      <c r="B350" s="103"/>
      <c r="C350" s="105"/>
      <c r="D350" s="105"/>
      <c r="E350" s="105"/>
      <c r="F350" s="105"/>
      <c r="G350" s="105"/>
      <c r="H350" s="105"/>
    </row>
    <row r="351" spans="1:9">
      <c r="A351" s="106" t="s">
        <v>352</v>
      </c>
      <c r="B351" s="106"/>
      <c r="C351" s="106"/>
      <c r="D351" s="105"/>
      <c r="E351" s="105"/>
      <c r="F351" s="105"/>
      <c r="G351" s="105"/>
      <c r="H351" s="105"/>
    </row>
    <row r="352" spans="1:9" ht="36.75">
      <c r="A352" s="58" t="s">
        <v>0</v>
      </c>
      <c r="B352" s="107" t="s">
        <v>38</v>
      </c>
      <c r="C352" s="107" t="s">
        <v>39</v>
      </c>
      <c r="D352" s="107" t="s">
        <v>212</v>
      </c>
      <c r="E352" s="107" t="s">
        <v>466</v>
      </c>
      <c r="F352" s="107" t="s">
        <v>777</v>
      </c>
      <c r="G352" s="108" t="s">
        <v>40</v>
      </c>
      <c r="H352" s="108" t="s">
        <v>492</v>
      </c>
      <c r="I352" s="108" t="s">
        <v>311</v>
      </c>
    </row>
    <row r="353" spans="1:13" ht="23.25">
      <c r="A353" s="36">
        <v>1</v>
      </c>
      <c r="B353" s="92">
        <v>22100265</v>
      </c>
      <c r="C353" s="93" t="s">
        <v>369</v>
      </c>
      <c r="D353" s="94">
        <v>90000000</v>
      </c>
      <c r="E353" s="235">
        <v>0</v>
      </c>
      <c r="F353" s="235">
        <v>40000000</v>
      </c>
      <c r="G353" s="63">
        <v>0</v>
      </c>
      <c r="H353" s="101">
        <f>D353-F353+G353</f>
        <v>50000000</v>
      </c>
      <c r="I353" s="376" t="s">
        <v>592</v>
      </c>
    </row>
    <row r="354" spans="1:13">
      <c r="A354" s="36">
        <v>2</v>
      </c>
      <c r="B354" s="92">
        <v>22100446</v>
      </c>
      <c r="C354" s="93" t="s">
        <v>370</v>
      </c>
      <c r="D354" s="94">
        <v>4000000</v>
      </c>
      <c r="E354" s="241">
        <v>3292100</v>
      </c>
      <c r="F354" s="101">
        <v>0</v>
      </c>
      <c r="G354" s="63">
        <v>2000000</v>
      </c>
      <c r="H354" s="101">
        <f t="shared" ref="H354:H370" si="7">D354-F354+G354</f>
        <v>6000000</v>
      </c>
      <c r="I354" s="37" t="s">
        <v>310</v>
      </c>
    </row>
    <row r="355" spans="1:13" ht="23.25">
      <c r="A355" s="36">
        <v>3</v>
      </c>
      <c r="B355" s="92">
        <v>22100447</v>
      </c>
      <c r="C355" s="93" t="s">
        <v>353</v>
      </c>
      <c r="D355" s="94">
        <v>4000000</v>
      </c>
      <c r="E355" s="235">
        <v>0</v>
      </c>
      <c r="F355" s="101">
        <v>0</v>
      </c>
      <c r="G355" s="63">
        <v>0</v>
      </c>
      <c r="H355" s="101">
        <f t="shared" si="7"/>
        <v>4000000</v>
      </c>
      <c r="I355" s="37"/>
    </row>
    <row r="356" spans="1:13">
      <c r="A356" s="36">
        <v>4</v>
      </c>
      <c r="B356" s="92">
        <v>22100448</v>
      </c>
      <c r="C356" s="93" t="s">
        <v>354</v>
      </c>
      <c r="D356" s="94">
        <v>9500000</v>
      </c>
      <c r="E356" s="235">
        <v>0</v>
      </c>
      <c r="F356" s="101">
        <v>0</v>
      </c>
      <c r="G356" s="63">
        <v>0</v>
      </c>
      <c r="H356" s="101">
        <f t="shared" si="7"/>
        <v>9500000</v>
      </c>
      <c r="I356" s="37"/>
    </row>
    <row r="357" spans="1:13">
      <c r="A357" s="36">
        <v>5</v>
      </c>
      <c r="B357" s="92">
        <v>22100449</v>
      </c>
      <c r="C357" s="93" t="s">
        <v>355</v>
      </c>
      <c r="D357" s="94">
        <v>1000000</v>
      </c>
      <c r="E357" s="235">
        <v>0</v>
      </c>
      <c r="F357" s="101">
        <v>0</v>
      </c>
      <c r="G357" s="63"/>
      <c r="H357" s="101">
        <f t="shared" si="7"/>
        <v>1000000</v>
      </c>
      <c r="I357" s="37"/>
    </row>
    <row r="358" spans="1:13">
      <c r="A358" s="36">
        <v>6</v>
      </c>
      <c r="B358" s="92">
        <v>22100450</v>
      </c>
      <c r="C358" s="93" t="s">
        <v>356</v>
      </c>
      <c r="D358" s="94">
        <v>120000000</v>
      </c>
      <c r="E358" s="235">
        <v>0</v>
      </c>
      <c r="F358" s="101">
        <v>58416341.18</v>
      </c>
      <c r="G358" s="63">
        <v>0</v>
      </c>
      <c r="H358" s="101">
        <f t="shared" si="7"/>
        <v>61583658.82</v>
      </c>
      <c r="I358" s="376" t="s">
        <v>592</v>
      </c>
    </row>
    <row r="359" spans="1:13" ht="23.25">
      <c r="A359" s="36">
        <v>7</v>
      </c>
      <c r="B359" s="92">
        <v>22100451</v>
      </c>
      <c r="C359" s="93" t="s">
        <v>357</v>
      </c>
      <c r="D359" s="235">
        <v>0</v>
      </c>
      <c r="E359" s="235">
        <v>0</v>
      </c>
      <c r="F359" s="101">
        <v>0</v>
      </c>
      <c r="G359" s="63">
        <v>0</v>
      </c>
      <c r="H359" s="101">
        <f t="shared" si="7"/>
        <v>0</v>
      </c>
      <c r="I359" s="37"/>
    </row>
    <row r="360" spans="1:13">
      <c r="A360" s="36">
        <v>8</v>
      </c>
      <c r="B360" s="92">
        <v>22100452</v>
      </c>
      <c r="C360" s="93" t="s">
        <v>358</v>
      </c>
      <c r="D360" s="235">
        <v>0</v>
      </c>
      <c r="E360" s="235">
        <v>0</v>
      </c>
      <c r="F360" s="101">
        <v>0</v>
      </c>
      <c r="G360" s="63">
        <v>0</v>
      </c>
      <c r="H360" s="101">
        <f t="shared" si="7"/>
        <v>0</v>
      </c>
      <c r="I360" s="37"/>
    </row>
    <row r="361" spans="1:13" ht="23.25">
      <c r="A361" s="36">
        <v>9</v>
      </c>
      <c r="B361" s="92">
        <v>22100453</v>
      </c>
      <c r="C361" s="93" t="s">
        <v>359</v>
      </c>
      <c r="D361" s="94">
        <v>15000000</v>
      </c>
      <c r="E361" s="235">
        <v>0</v>
      </c>
      <c r="F361" s="101">
        <v>0</v>
      </c>
      <c r="G361" s="63">
        <v>0</v>
      </c>
      <c r="H361" s="101">
        <f t="shared" si="7"/>
        <v>15000000</v>
      </c>
      <c r="I361" s="37"/>
    </row>
    <row r="362" spans="1:13" ht="23.25">
      <c r="A362" s="36">
        <v>10</v>
      </c>
      <c r="B362" s="92">
        <v>22100454</v>
      </c>
      <c r="C362" s="93" t="s">
        <v>360</v>
      </c>
      <c r="D362" s="94">
        <v>8000000</v>
      </c>
      <c r="E362" s="235">
        <v>0</v>
      </c>
      <c r="F362" s="101">
        <v>0</v>
      </c>
      <c r="G362" s="63">
        <v>0</v>
      </c>
      <c r="H362" s="101">
        <f t="shared" si="7"/>
        <v>8000000</v>
      </c>
      <c r="I362" s="37"/>
      <c r="M362" s="373"/>
    </row>
    <row r="363" spans="1:13">
      <c r="A363" s="36">
        <v>11</v>
      </c>
      <c r="B363" s="92">
        <v>22100455</v>
      </c>
      <c r="C363" s="93" t="s">
        <v>361</v>
      </c>
      <c r="D363" s="94">
        <v>6000000</v>
      </c>
      <c r="E363" s="235">
        <v>0</v>
      </c>
      <c r="F363" s="101">
        <v>0</v>
      </c>
      <c r="G363" s="63">
        <v>0</v>
      </c>
      <c r="H363" s="101">
        <f t="shared" si="7"/>
        <v>6000000</v>
      </c>
      <c r="I363" s="37"/>
    </row>
    <row r="364" spans="1:13">
      <c r="A364" s="36">
        <v>12</v>
      </c>
      <c r="B364" s="92">
        <v>22100456</v>
      </c>
      <c r="C364" s="93" t="s">
        <v>362</v>
      </c>
      <c r="D364" s="94">
        <v>10000000</v>
      </c>
      <c r="E364" s="235">
        <v>0</v>
      </c>
      <c r="F364" s="101">
        <v>0</v>
      </c>
      <c r="G364" s="63">
        <v>0</v>
      </c>
      <c r="H364" s="101">
        <f t="shared" si="7"/>
        <v>10000000</v>
      </c>
      <c r="I364" s="37"/>
    </row>
    <row r="365" spans="1:13">
      <c r="A365" s="36">
        <v>13</v>
      </c>
      <c r="B365" s="92">
        <v>22100457</v>
      </c>
      <c r="C365" s="93" t="s">
        <v>363</v>
      </c>
      <c r="D365" s="94">
        <v>203000000</v>
      </c>
      <c r="E365" s="235">
        <v>0</v>
      </c>
      <c r="F365" s="235">
        <v>150000000</v>
      </c>
      <c r="G365" s="63">
        <v>0</v>
      </c>
      <c r="H365" s="101">
        <f t="shared" si="7"/>
        <v>53000000</v>
      </c>
      <c r="I365" s="376" t="s">
        <v>592</v>
      </c>
    </row>
    <row r="366" spans="1:13">
      <c r="A366" s="36">
        <v>14</v>
      </c>
      <c r="B366" s="92">
        <v>22100458</v>
      </c>
      <c r="C366" s="93" t="s">
        <v>364</v>
      </c>
      <c r="D366" s="94">
        <v>2000000</v>
      </c>
      <c r="E366" s="235">
        <v>0</v>
      </c>
      <c r="F366" s="101">
        <v>0</v>
      </c>
      <c r="G366" s="63">
        <v>0</v>
      </c>
      <c r="H366" s="101">
        <f t="shared" si="7"/>
        <v>2000000</v>
      </c>
      <c r="I366" s="37"/>
    </row>
    <row r="367" spans="1:13" ht="23.25">
      <c r="A367" s="36">
        <v>15</v>
      </c>
      <c r="B367" s="92">
        <v>22100459</v>
      </c>
      <c r="C367" s="93" t="s">
        <v>365</v>
      </c>
      <c r="D367" s="235">
        <v>0</v>
      </c>
      <c r="E367" s="235">
        <v>0</v>
      </c>
      <c r="F367" s="101">
        <v>0</v>
      </c>
      <c r="G367" s="63">
        <v>0</v>
      </c>
      <c r="H367" s="101">
        <f t="shared" si="7"/>
        <v>0</v>
      </c>
      <c r="I367" s="37"/>
    </row>
    <row r="368" spans="1:13">
      <c r="A368" s="36">
        <v>16</v>
      </c>
      <c r="B368" s="92">
        <v>22100460</v>
      </c>
      <c r="C368" s="93" t="s">
        <v>366</v>
      </c>
      <c r="D368" s="94">
        <v>5000000</v>
      </c>
      <c r="E368" s="234">
        <v>4864000</v>
      </c>
      <c r="F368" s="101">
        <v>0</v>
      </c>
      <c r="G368" s="63">
        <v>3000000</v>
      </c>
      <c r="H368" s="101">
        <f t="shared" si="7"/>
        <v>8000000</v>
      </c>
      <c r="I368" s="37" t="s">
        <v>310</v>
      </c>
    </row>
    <row r="369" spans="1:9">
      <c r="A369" s="36">
        <v>17</v>
      </c>
      <c r="B369" s="92">
        <v>22100461</v>
      </c>
      <c r="C369" s="93" t="s">
        <v>367</v>
      </c>
      <c r="D369" s="94">
        <v>11800000</v>
      </c>
      <c r="E369" s="235">
        <v>0</v>
      </c>
      <c r="F369" s="101">
        <v>0</v>
      </c>
      <c r="G369" s="63">
        <v>0</v>
      </c>
      <c r="H369" s="101">
        <f t="shared" si="7"/>
        <v>11800000</v>
      </c>
      <c r="I369" s="37"/>
    </row>
    <row r="370" spans="1:9" ht="23.25">
      <c r="A370" s="36">
        <v>18</v>
      </c>
      <c r="B370" s="92">
        <v>22100650</v>
      </c>
      <c r="C370" s="93" t="s">
        <v>368</v>
      </c>
      <c r="D370" s="94">
        <v>81000000</v>
      </c>
      <c r="E370" s="235">
        <v>0</v>
      </c>
      <c r="F370" s="235"/>
      <c r="G370" s="63">
        <v>0</v>
      </c>
      <c r="H370" s="101">
        <f t="shared" si="7"/>
        <v>81000000</v>
      </c>
      <c r="I370" s="376"/>
    </row>
    <row r="371" spans="1:9">
      <c r="A371" s="36"/>
      <c r="B371" s="42"/>
      <c r="C371" s="46" t="s">
        <v>41</v>
      </c>
      <c r="D371" s="102">
        <f>SUM(D353:D370)</f>
        <v>570300000</v>
      </c>
      <c r="E371" s="102">
        <f>SUM(E353:E370)</f>
        <v>8156100</v>
      </c>
      <c r="F371" s="634">
        <f>SUM(F353:F370)</f>
        <v>248416341.18000001</v>
      </c>
      <c r="G371" s="102">
        <f>SUM(G353:G370)</f>
        <v>5000000</v>
      </c>
      <c r="H371" s="102">
        <f>SUM(H353:H370)</f>
        <v>326883658.81999999</v>
      </c>
      <c r="I371" s="37"/>
    </row>
    <row r="373" spans="1:9">
      <c r="D373" s="3"/>
      <c r="F373" s="3"/>
    </row>
    <row r="374" spans="1:9">
      <c r="A374" s="684" t="s">
        <v>659</v>
      </c>
      <c r="B374" s="684"/>
      <c r="C374" s="684"/>
      <c r="D374" s="684"/>
      <c r="E374" s="684"/>
      <c r="F374" s="684"/>
      <c r="G374" s="684"/>
      <c r="H374" s="684"/>
      <c r="I374" s="684"/>
    </row>
    <row r="375" spans="1:9">
      <c r="A375" s="684" t="s">
        <v>660</v>
      </c>
      <c r="B375" s="684"/>
      <c r="C375" s="684"/>
      <c r="D375" s="684"/>
      <c r="E375" s="684"/>
      <c r="F375" s="684"/>
      <c r="G375" s="684"/>
      <c r="H375" s="684"/>
      <c r="I375" s="684"/>
    </row>
    <row r="376" spans="1:9">
      <c r="A376" s="684" t="s">
        <v>37</v>
      </c>
      <c r="B376" s="684"/>
      <c r="C376" s="684"/>
      <c r="D376" s="684"/>
      <c r="E376" s="684"/>
      <c r="F376" s="684"/>
      <c r="G376" s="684"/>
      <c r="H376" s="684"/>
      <c r="I376" s="684"/>
    </row>
    <row r="377" spans="1:9">
      <c r="A377" s="224"/>
      <c r="B377" s="224"/>
      <c r="C377" s="224"/>
      <c r="D377" s="224"/>
      <c r="E377" s="224"/>
      <c r="F377" s="622"/>
      <c r="G377" s="224"/>
      <c r="H377" s="224"/>
    </row>
    <row r="378" spans="1:9">
      <c r="A378" s="104" t="s">
        <v>451</v>
      </c>
      <c r="B378" s="104"/>
      <c r="C378" s="104"/>
      <c r="D378" s="104"/>
      <c r="E378" s="104"/>
      <c r="F378" s="104"/>
      <c r="G378" s="104"/>
      <c r="H378" s="105"/>
    </row>
    <row r="379" spans="1:9">
      <c r="A379" s="105"/>
      <c r="B379" s="224"/>
      <c r="C379" s="105"/>
      <c r="D379" s="105"/>
      <c r="E379" s="105"/>
      <c r="F379" s="105"/>
      <c r="G379" s="105"/>
      <c r="H379" s="105"/>
    </row>
    <row r="380" spans="1:9">
      <c r="A380" s="106" t="s">
        <v>452</v>
      </c>
      <c r="B380" s="106"/>
      <c r="C380" s="106"/>
      <c r="D380" s="105"/>
      <c r="E380" s="105"/>
      <c r="F380" s="105"/>
      <c r="G380" s="105"/>
      <c r="H380" s="105"/>
    </row>
    <row r="381" spans="1:9" ht="36.75">
      <c r="A381" s="58" t="s">
        <v>0</v>
      </c>
      <c r="B381" s="107" t="s">
        <v>38</v>
      </c>
      <c r="C381" s="107" t="s">
        <v>39</v>
      </c>
      <c r="D381" s="107" t="s">
        <v>212</v>
      </c>
      <c r="E381" s="107" t="s">
        <v>466</v>
      </c>
      <c r="F381" s="107" t="s">
        <v>777</v>
      </c>
      <c r="G381" s="108" t="s">
        <v>40</v>
      </c>
      <c r="H381" s="108" t="s">
        <v>492</v>
      </c>
      <c r="I381" s="108" t="s">
        <v>311</v>
      </c>
    </row>
    <row r="382" spans="1:9">
      <c r="A382" s="90">
        <v>1</v>
      </c>
      <c r="B382" s="92">
        <v>22100286</v>
      </c>
      <c r="C382" s="93" t="s">
        <v>453</v>
      </c>
      <c r="D382" s="94">
        <v>5000000</v>
      </c>
      <c r="E382" s="235">
        <v>0</v>
      </c>
      <c r="F382" s="235">
        <v>0</v>
      </c>
      <c r="G382" s="43">
        <v>0</v>
      </c>
      <c r="H382" s="62">
        <f t="shared" ref="H382:H392" si="8">D382+G382</f>
        <v>5000000</v>
      </c>
      <c r="I382" s="37"/>
    </row>
    <row r="383" spans="1:9">
      <c r="A383" s="90">
        <v>2</v>
      </c>
      <c r="B383" s="92">
        <v>22100287</v>
      </c>
      <c r="C383" s="93" t="s">
        <v>454</v>
      </c>
      <c r="D383" s="94">
        <v>30000000</v>
      </c>
      <c r="E383" s="235">
        <v>0</v>
      </c>
      <c r="F383" s="235">
        <v>0</v>
      </c>
      <c r="G383" s="43">
        <v>0</v>
      </c>
      <c r="H383" s="62">
        <f t="shared" si="8"/>
        <v>30000000</v>
      </c>
      <c r="I383" s="37"/>
    </row>
    <row r="384" spans="1:9">
      <c r="A384" s="90">
        <v>3</v>
      </c>
      <c r="B384" s="92">
        <v>22100422</v>
      </c>
      <c r="C384" s="93" t="s">
        <v>455</v>
      </c>
      <c r="D384" s="94">
        <v>25000000</v>
      </c>
      <c r="E384" s="235">
        <v>0</v>
      </c>
      <c r="F384" s="235">
        <v>0</v>
      </c>
      <c r="G384" s="43">
        <v>0</v>
      </c>
      <c r="H384" s="62">
        <f t="shared" si="8"/>
        <v>25000000</v>
      </c>
      <c r="I384" s="37"/>
    </row>
    <row r="385" spans="1:9">
      <c r="A385" s="90">
        <v>4</v>
      </c>
      <c r="B385" s="92">
        <v>22100470</v>
      </c>
      <c r="C385" s="93" t="s">
        <v>456</v>
      </c>
      <c r="D385" s="94">
        <v>5000000</v>
      </c>
      <c r="E385" s="235">
        <v>0</v>
      </c>
      <c r="F385" s="235">
        <v>0</v>
      </c>
      <c r="G385" s="43">
        <v>0</v>
      </c>
      <c r="H385" s="62">
        <f t="shared" si="8"/>
        <v>5000000</v>
      </c>
      <c r="I385" s="37"/>
    </row>
    <row r="386" spans="1:9">
      <c r="A386" s="90">
        <v>5</v>
      </c>
      <c r="B386" s="92">
        <v>22100471</v>
      </c>
      <c r="C386" s="93" t="s">
        <v>457</v>
      </c>
      <c r="D386" s="94">
        <v>3000000</v>
      </c>
      <c r="E386" s="235">
        <v>0</v>
      </c>
      <c r="F386" s="235">
        <v>0</v>
      </c>
      <c r="G386" s="43">
        <v>0</v>
      </c>
      <c r="H386" s="62">
        <f t="shared" si="8"/>
        <v>3000000</v>
      </c>
      <c r="I386" s="37"/>
    </row>
    <row r="387" spans="1:9">
      <c r="A387" s="90">
        <v>6</v>
      </c>
      <c r="B387" s="92">
        <v>22100472</v>
      </c>
      <c r="C387" s="93" t="s">
        <v>458</v>
      </c>
      <c r="D387" s="94">
        <v>20000000</v>
      </c>
      <c r="E387" s="235">
        <v>0</v>
      </c>
      <c r="F387" s="235">
        <v>0</v>
      </c>
      <c r="G387" s="43">
        <v>0</v>
      </c>
      <c r="H387" s="62">
        <f t="shared" si="8"/>
        <v>20000000</v>
      </c>
      <c r="I387" s="37"/>
    </row>
    <row r="388" spans="1:9" ht="23.25">
      <c r="A388" s="90">
        <v>7</v>
      </c>
      <c r="B388" s="92">
        <v>22100473</v>
      </c>
      <c r="C388" s="93" t="s">
        <v>459</v>
      </c>
      <c r="D388" s="94">
        <v>7000000</v>
      </c>
      <c r="E388" s="234">
        <v>7000000</v>
      </c>
      <c r="F388" s="235">
        <v>0</v>
      </c>
      <c r="G388" s="43">
        <v>25000000</v>
      </c>
      <c r="H388" s="62">
        <f t="shared" si="8"/>
        <v>32000000</v>
      </c>
      <c r="I388" s="37" t="s">
        <v>310</v>
      </c>
    </row>
    <row r="389" spans="1:9" ht="23.25">
      <c r="A389" s="90">
        <v>8</v>
      </c>
      <c r="B389" s="92">
        <v>22100474</v>
      </c>
      <c r="C389" s="93" t="s">
        <v>460</v>
      </c>
      <c r="D389" s="94">
        <v>2000000</v>
      </c>
      <c r="E389" s="235">
        <v>0</v>
      </c>
      <c r="F389" s="235">
        <v>0</v>
      </c>
      <c r="G389" s="43">
        <v>0</v>
      </c>
      <c r="H389" s="62">
        <f t="shared" si="8"/>
        <v>2000000</v>
      </c>
      <c r="I389" s="37"/>
    </row>
    <row r="390" spans="1:9">
      <c r="A390" s="90">
        <v>9</v>
      </c>
      <c r="B390" s="92">
        <v>22100475</v>
      </c>
      <c r="C390" s="93" t="s">
        <v>461</v>
      </c>
      <c r="D390" s="94">
        <v>2000000</v>
      </c>
      <c r="E390" s="235">
        <v>0</v>
      </c>
      <c r="F390" s="235">
        <v>0</v>
      </c>
      <c r="G390" s="43">
        <v>0</v>
      </c>
      <c r="H390" s="62">
        <f t="shared" si="8"/>
        <v>2000000</v>
      </c>
      <c r="I390" s="37"/>
    </row>
    <row r="391" spans="1:9">
      <c r="A391" s="90">
        <v>10</v>
      </c>
      <c r="B391" s="92">
        <v>22100479</v>
      </c>
      <c r="C391" s="93" t="s">
        <v>224</v>
      </c>
      <c r="D391" s="94">
        <v>11000000</v>
      </c>
      <c r="E391" s="235">
        <v>0</v>
      </c>
      <c r="F391" s="235">
        <v>0</v>
      </c>
      <c r="G391" s="43">
        <v>0</v>
      </c>
      <c r="H391" s="62">
        <f t="shared" si="8"/>
        <v>11000000</v>
      </c>
      <c r="I391" s="37"/>
    </row>
    <row r="392" spans="1:9" ht="23.25">
      <c r="A392" s="90">
        <v>11</v>
      </c>
      <c r="B392" s="92">
        <v>22100649</v>
      </c>
      <c r="C392" s="93" t="s">
        <v>462</v>
      </c>
      <c r="D392" s="94">
        <v>20000000</v>
      </c>
      <c r="E392" s="235">
        <v>0</v>
      </c>
      <c r="F392" s="235">
        <v>0</v>
      </c>
      <c r="G392" s="43">
        <v>0</v>
      </c>
      <c r="H392" s="62">
        <f t="shared" si="8"/>
        <v>20000000</v>
      </c>
      <c r="I392" s="37"/>
    </row>
    <row r="393" spans="1:9">
      <c r="A393" s="90"/>
      <c r="B393" s="42"/>
      <c r="C393" s="110" t="s">
        <v>41</v>
      </c>
      <c r="D393" s="111">
        <f>SUM(D382:D392)</f>
        <v>130000000</v>
      </c>
      <c r="E393" s="109">
        <f>SUM(E382:E392)</f>
        <v>7000000</v>
      </c>
      <c r="F393" s="235">
        <v>0</v>
      </c>
      <c r="G393" s="109">
        <f>SUM(G382:G392)</f>
        <v>25000000</v>
      </c>
      <c r="H393" s="109">
        <f>SUM(H382:H392)</f>
        <v>155000000</v>
      </c>
      <c r="I393" s="37"/>
    </row>
    <row r="405" spans="1:9">
      <c r="A405" s="684" t="s">
        <v>659</v>
      </c>
      <c r="B405" s="684"/>
      <c r="C405" s="684"/>
      <c r="D405" s="684"/>
      <c r="E405" s="684"/>
      <c r="F405" s="684"/>
      <c r="G405" s="684"/>
      <c r="H405" s="684"/>
      <c r="I405" s="684"/>
    </row>
    <row r="406" spans="1:9">
      <c r="A406" s="684" t="s">
        <v>660</v>
      </c>
      <c r="B406" s="684"/>
      <c r="C406" s="684"/>
      <c r="D406" s="684"/>
      <c r="E406" s="684"/>
      <c r="F406" s="684"/>
      <c r="G406" s="684"/>
      <c r="H406" s="684"/>
      <c r="I406" s="684"/>
    </row>
    <row r="407" spans="1:9">
      <c r="A407" s="684" t="s">
        <v>37</v>
      </c>
      <c r="B407" s="684"/>
      <c r="C407" s="684"/>
      <c r="D407" s="684"/>
      <c r="E407" s="684"/>
      <c r="F407" s="684"/>
      <c r="G407" s="684"/>
      <c r="H407" s="684"/>
      <c r="I407" s="684"/>
    </row>
    <row r="408" spans="1:9">
      <c r="A408" s="231"/>
      <c r="B408" s="231"/>
      <c r="C408" s="231"/>
      <c r="D408" s="231"/>
      <c r="E408" s="231"/>
      <c r="F408" s="622"/>
      <c r="G408" s="231"/>
      <c r="H408" s="231"/>
    </row>
    <row r="409" spans="1:9">
      <c r="A409" s="104" t="s">
        <v>240</v>
      </c>
      <c r="B409" s="104"/>
      <c r="C409" s="104"/>
      <c r="D409" s="104"/>
      <c r="E409" s="104"/>
      <c r="F409" s="104"/>
      <c r="G409" s="104"/>
      <c r="H409" s="105"/>
    </row>
    <row r="410" spans="1:9">
      <c r="A410" s="105"/>
      <c r="B410" s="231"/>
      <c r="C410" s="105"/>
      <c r="D410" s="105"/>
      <c r="E410" s="105"/>
      <c r="F410" s="105"/>
      <c r="G410" s="105"/>
      <c r="H410" s="105"/>
    </row>
    <row r="411" spans="1:9">
      <c r="A411" s="106" t="s">
        <v>241</v>
      </c>
      <c r="B411" s="106"/>
      <c r="C411" s="106"/>
      <c r="D411" s="105"/>
      <c r="E411" s="105"/>
      <c r="F411" s="105"/>
      <c r="G411" s="105"/>
      <c r="H411" s="105"/>
    </row>
    <row r="412" spans="1:9" ht="36.75">
      <c r="A412" s="58" t="s">
        <v>0</v>
      </c>
      <c r="B412" s="107" t="s">
        <v>38</v>
      </c>
      <c r="C412" s="107" t="s">
        <v>39</v>
      </c>
      <c r="D412" s="107" t="s">
        <v>212</v>
      </c>
      <c r="E412" s="107" t="s">
        <v>466</v>
      </c>
      <c r="F412" s="107" t="s">
        <v>777</v>
      </c>
      <c r="G412" s="108" t="s">
        <v>40</v>
      </c>
      <c r="H412" s="108" t="s">
        <v>492</v>
      </c>
      <c r="I412" s="108" t="s">
        <v>311</v>
      </c>
    </row>
    <row r="413" spans="1:9">
      <c r="A413" s="90">
        <v>1</v>
      </c>
      <c r="B413" s="92">
        <v>22100480</v>
      </c>
      <c r="C413" s="93" t="s">
        <v>225</v>
      </c>
      <c r="D413" s="94">
        <v>3000000</v>
      </c>
      <c r="E413" s="235">
        <v>0</v>
      </c>
      <c r="F413" s="235">
        <v>0</v>
      </c>
      <c r="G413" s="43">
        <v>0</v>
      </c>
      <c r="H413" s="62">
        <f t="shared" ref="H413:H427" si="9">D413+G413</f>
        <v>3000000</v>
      </c>
      <c r="I413" s="37"/>
    </row>
    <row r="414" spans="1:9">
      <c r="A414" s="90">
        <v>2</v>
      </c>
      <c r="B414" s="92">
        <v>22100481</v>
      </c>
      <c r="C414" s="93" t="s">
        <v>226</v>
      </c>
      <c r="D414" s="94">
        <v>2000000</v>
      </c>
      <c r="E414" s="241">
        <v>592000</v>
      </c>
      <c r="F414" s="235">
        <v>0</v>
      </c>
      <c r="G414" s="43">
        <v>5000000</v>
      </c>
      <c r="H414" s="62">
        <f t="shared" si="9"/>
        <v>7000000</v>
      </c>
      <c r="I414" s="37" t="s">
        <v>310</v>
      </c>
    </row>
    <row r="415" spans="1:9">
      <c r="A415" s="90">
        <v>3</v>
      </c>
      <c r="B415" s="92">
        <v>22100482</v>
      </c>
      <c r="C415" s="93" t="s">
        <v>227</v>
      </c>
      <c r="D415" s="94">
        <v>2000000</v>
      </c>
      <c r="E415" s="235">
        <v>0</v>
      </c>
      <c r="F415" s="235">
        <v>0</v>
      </c>
      <c r="G415" s="43">
        <v>0</v>
      </c>
      <c r="H415" s="62">
        <f t="shared" si="9"/>
        <v>2000000</v>
      </c>
      <c r="I415" s="37"/>
    </row>
    <row r="416" spans="1:9">
      <c r="A416" s="90">
        <v>4</v>
      </c>
      <c r="B416" s="92">
        <v>22100483</v>
      </c>
      <c r="C416" s="93" t="s">
        <v>228</v>
      </c>
      <c r="D416" s="94">
        <v>2000000</v>
      </c>
      <c r="E416" s="235">
        <v>0</v>
      </c>
      <c r="F416" s="235">
        <v>0</v>
      </c>
      <c r="G416" s="43">
        <v>0</v>
      </c>
      <c r="H416" s="62">
        <f t="shared" si="9"/>
        <v>2000000</v>
      </c>
      <c r="I416" s="37"/>
    </row>
    <row r="417" spans="1:9">
      <c r="A417" s="90">
        <v>5</v>
      </c>
      <c r="B417" s="92">
        <v>22100484</v>
      </c>
      <c r="C417" s="93" t="s">
        <v>229</v>
      </c>
      <c r="D417" s="94">
        <v>1000000</v>
      </c>
      <c r="E417" s="235">
        <v>0</v>
      </c>
      <c r="F417" s="235">
        <v>0</v>
      </c>
      <c r="G417" s="43">
        <v>0</v>
      </c>
      <c r="H417" s="62">
        <f t="shared" si="9"/>
        <v>1000000</v>
      </c>
      <c r="I417" s="37"/>
    </row>
    <row r="418" spans="1:9">
      <c r="A418" s="90">
        <v>6</v>
      </c>
      <c r="B418" s="92">
        <v>22100485</v>
      </c>
      <c r="C418" s="93" t="s">
        <v>230</v>
      </c>
      <c r="D418" s="94">
        <v>2000000</v>
      </c>
      <c r="E418" s="235">
        <v>0</v>
      </c>
      <c r="F418" s="235">
        <v>0</v>
      </c>
      <c r="G418" s="43">
        <v>0</v>
      </c>
      <c r="H418" s="62">
        <f t="shared" si="9"/>
        <v>2000000</v>
      </c>
      <c r="I418" s="37"/>
    </row>
    <row r="419" spans="1:9">
      <c r="A419" s="90">
        <v>7</v>
      </c>
      <c r="B419" s="92">
        <v>22100486</v>
      </c>
      <c r="C419" s="93" t="s">
        <v>231</v>
      </c>
      <c r="D419" s="94">
        <v>1000000</v>
      </c>
      <c r="E419" s="235">
        <v>0</v>
      </c>
      <c r="F419" s="235">
        <v>0</v>
      </c>
      <c r="G419" s="43">
        <v>0</v>
      </c>
      <c r="H419" s="62">
        <f t="shared" si="9"/>
        <v>1000000</v>
      </c>
      <c r="I419" s="37"/>
    </row>
    <row r="420" spans="1:9">
      <c r="A420" s="90">
        <v>8</v>
      </c>
      <c r="B420" s="92">
        <v>22100487</v>
      </c>
      <c r="C420" s="93" t="s">
        <v>232</v>
      </c>
      <c r="D420" s="94">
        <v>2000000</v>
      </c>
      <c r="E420" s="235">
        <v>0</v>
      </c>
      <c r="F420" s="235">
        <v>0</v>
      </c>
      <c r="G420" s="43">
        <v>0</v>
      </c>
      <c r="H420" s="62">
        <f t="shared" si="9"/>
        <v>2000000</v>
      </c>
      <c r="I420" s="37"/>
    </row>
    <row r="421" spans="1:9" ht="23.25">
      <c r="A421" s="90">
        <v>9</v>
      </c>
      <c r="B421" s="92">
        <v>22100488</v>
      </c>
      <c r="C421" s="93" t="s">
        <v>233</v>
      </c>
      <c r="D421" s="94">
        <v>1000000</v>
      </c>
      <c r="E421" s="235">
        <v>0</v>
      </c>
      <c r="F421" s="235">
        <v>0</v>
      </c>
      <c r="G421" s="43">
        <v>0</v>
      </c>
      <c r="H421" s="62">
        <f t="shared" si="9"/>
        <v>1000000</v>
      </c>
      <c r="I421" s="37"/>
    </row>
    <row r="422" spans="1:9">
      <c r="A422" s="90">
        <v>10</v>
      </c>
      <c r="B422" s="92">
        <v>22100489</v>
      </c>
      <c r="C422" s="93" t="s">
        <v>234</v>
      </c>
      <c r="D422" s="235">
        <v>0</v>
      </c>
      <c r="E422" s="235">
        <v>0</v>
      </c>
      <c r="F422" s="235">
        <v>0</v>
      </c>
      <c r="G422" s="43">
        <v>0</v>
      </c>
      <c r="H422" s="62">
        <f t="shared" si="9"/>
        <v>0</v>
      </c>
      <c r="I422" s="37"/>
    </row>
    <row r="423" spans="1:9">
      <c r="A423" s="90">
        <v>11</v>
      </c>
      <c r="B423" s="92">
        <v>22100490</v>
      </c>
      <c r="C423" s="93" t="s">
        <v>235</v>
      </c>
      <c r="D423" s="94">
        <v>30000000</v>
      </c>
      <c r="E423" s="235">
        <v>0</v>
      </c>
      <c r="F423" s="235">
        <v>0</v>
      </c>
      <c r="G423" s="43">
        <v>0</v>
      </c>
      <c r="H423" s="62">
        <f t="shared" si="9"/>
        <v>30000000</v>
      </c>
      <c r="I423" s="37"/>
    </row>
    <row r="424" spans="1:9">
      <c r="A424" s="90">
        <v>12</v>
      </c>
      <c r="B424" s="92">
        <v>22100491</v>
      </c>
      <c r="C424" s="93" t="s">
        <v>236</v>
      </c>
      <c r="D424" s="94">
        <v>5000000</v>
      </c>
      <c r="E424" s="235">
        <v>0</v>
      </c>
      <c r="F424" s="235">
        <v>0</v>
      </c>
      <c r="G424" s="43">
        <v>0</v>
      </c>
      <c r="H424" s="62">
        <f t="shared" si="9"/>
        <v>5000000</v>
      </c>
      <c r="I424" s="37"/>
    </row>
    <row r="425" spans="1:9">
      <c r="A425" s="90">
        <v>13</v>
      </c>
      <c r="B425" s="92">
        <v>22100492</v>
      </c>
      <c r="C425" s="93" t="s">
        <v>237</v>
      </c>
      <c r="D425" s="94">
        <v>3000000</v>
      </c>
      <c r="E425" s="235">
        <v>0</v>
      </c>
      <c r="F425" s="235">
        <v>0</v>
      </c>
      <c r="G425" s="43">
        <v>0</v>
      </c>
      <c r="H425" s="62">
        <f t="shared" si="9"/>
        <v>3000000</v>
      </c>
      <c r="I425" s="37"/>
    </row>
    <row r="426" spans="1:9">
      <c r="A426" s="90">
        <v>14</v>
      </c>
      <c r="B426" s="92">
        <v>22100493</v>
      </c>
      <c r="C426" s="93" t="s">
        <v>238</v>
      </c>
      <c r="D426" s="94">
        <v>1000000</v>
      </c>
      <c r="E426" s="235">
        <v>0</v>
      </c>
      <c r="F426" s="235">
        <v>0</v>
      </c>
      <c r="G426" s="43">
        <v>0</v>
      </c>
      <c r="H426" s="62">
        <f t="shared" si="9"/>
        <v>1000000</v>
      </c>
      <c r="I426" s="37"/>
    </row>
    <row r="427" spans="1:9" ht="23.25">
      <c r="A427" s="90">
        <v>15</v>
      </c>
      <c r="B427" s="92">
        <v>22100494</v>
      </c>
      <c r="C427" s="93" t="s">
        <v>239</v>
      </c>
      <c r="D427" s="235">
        <v>0</v>
      </c>
      <c r="E427" s="235">
        <v>0</v>
      </c>
      <c r="F427" s="235">
        <v>0</v>
      </c>
      <c r="G427" s="43">
        <v>0</v>
      </c>
      <c r="H427" s="62">
        <f t="shared" si="9"/>
        <v>0</v>
      </c>
      <c r="I427" s="37"/>
    </row>
    <row r="428" spans="1:9">
      <c r="A428" s="90"/>
      <c r="B428" s="42"/>
      <c r="C428" s="110" t="s">
        <v>41</v>
      </c>
      <c r="D428" s="111">
        <f>SUM(D413:D427)</f>
        <v>55000000</v>
      </c>
      <c r="E428" s="338">
        <f>SUM(E413:E427)</f>
        <v>592000</v>
      </c>
      <c r="F428" s="235">
        <v>0</v>
      </c>
      <c r="G428" s="109">
        <f>SUM(G413:G427)</f>
        <v>5000000</v>
      </c>
      <c r="H428" s="109">
        <f>SUM(H413:H427)</f>
        <v>60000000</v>
      </c>
      <c r="I428" s="37"/>
    </row>
    <row r="436" spans="1:9">
      <c r="A436" s="684" t="s">
        <v>659</v>
      </c>
      <c r="B436" s="684"/>
      <c r="C436" s="684"/>
      <c r="D436" s="684"/>
      <c r="E436" s="684"/>
      <c r="F436" s="684"/>
      <c r="G436" s="684"/>
      <c r="H436" s="684"/>
      <c r="I436" s="684"/>
    </row>
    <row r="437" spans="1:9">
      <c r="A437" s="684" t="s">
        <v>660</v>
      </c>
      <c r="B437" s="684"/>
      <c r="C437" s="684"/>
      <c r="D437" s="684"/>
      <c r="E437" s="684"/>
      <c r="F437" s="684"/>
      <c r="G437" s="684"/>
      <c r="H437" s="684"/>
      <c r="I437" s="684"/>
    </row>
    <row r="438" spans="1:9">
      <c r="A438" s="684" t="s">
        <v>37</v>
      </c>
      <c r="B438" s="684"/>
      <c r="C438" s="684"/>
      <c r="D438" s="684"/>
      <c r="E438" s="684"/>
      <c r="F438" s="684"/>
      <c r="G438" s="684"/>
      <c r="H438" s="684"/>
      <c r="I438" s="684"/>
    </row>
    <row r="439" spans="1:9">
      <c r="A439" s="357"/>
      <c r="B439" s="357"/>
      <c r="C439" s="357"/>
      <c r="D439" s="357"/>
      <c r="E439" s="357"/>
      <c r="F439" s="622"/>
      <c r="G439" s="357"/>
      <c r="H439" s="357"/>
    </row>
    <row r="440" spans="1:9">
      <c r="A440" s="119" t="s">
        <v>567</v>
      </c>
      <c r="B440" s="104"/>
      <c r="C440" s="104"/>
      <c r="D440" s="104"/>
      <c r="E440" s="104"/>
      <c r="F440" s="104"/>
      <c r="G440" s="104"/>
      <c r="H440" s="105"/>
    </row>
    <row r="441" spans="1:9">
      <c r="A441" s="105"/>
      <c r="B441" s="357"/>
      <c r="C441" s="105"/>
      <c r="D441" s="105"/>
      <c r="E441" s="105"/>
      <c r="F441" s="105"/>
      <c r="G441" s="105"/>
      <c r="H441" s="105"/>
    </row>
    <row r="442" spans="1:9">
      <c r="A442" s="106" t="s">
        <v>568</v>
      </c>
      <c r="B442" s="106"/>
      <c r="C442" s="106"/>
      <c r="D442" s="105"/>
      <c r="E442" s="105"/>
      <c r="F442" s="105"/>
      <c r="G442" s="105"/>
      <c r="H442" s="105"/>
    </row>
    <row r="443" spans="1:9" ht="36.75">
      <c r="A443" s="58" t="s">
        <v>0</v>
      </c>
      <c r="B443" s="107" t="s">
        <v>38</v>
      </c>
      <c r="C443" s="107" t="s">
        <v>39</v>
      </c>
      <c r="D443" s="107" t="s">
        <v>212</v>
      </c>
      <c r="E443" s="107" t="s">
        <v>466</v>
      </c>
      <c r="F443" s="107" t="s">
        <v>777</v>
      </c>
      <c r="G443" s="108" t="s">
        <v>40</v>
      </c>
      <c r="H443" s="108" t="s">
        <v>492</v>
      </c>
      <c r="I443" s="108" t="s">
        <v>311</v>
      </c>
    </row>
    <row r="444" spans="1:9">
      <c r="A444" s="368">
        <v>1</v>
      </c>
      <c r="B444" s="92">
        <v>22100434</v>
      </c>
      <c r="C444" s="93" t="s">
        <v>569</v>
      </c>
      <c r="D444" s="94">
        <v>2500000</v>
      </c>
      <c r="E444" s="238">
        <v>0</v>
      </c>
      <c r="F444" s="238">
        <v>0</v>
      </c>
      <c r="G444" s="43">
        <v>0</v>
      </c>
      <c r="H444" s="41">
        <f>D444-F444+G444</f>
        <v>2500000</v>
      </c>
      <c r="I444" s="37"/>
    </row>
    <row r="445" spans="1:9" ht="34.5">
      <c r="A445" s="368">
        <v>2</v>
      </c>
      <c r="B445" s="92">
        <v>22100497</v>
      </c>
      <c r="C445" s="93" t="s">
        <v>570</v>
      </c>
      <c r="D445" s="94">
        <v>20000000</v>
      </c>
      <c r="E445" s="238">
        <v>0</v>
      </c>
      <c r="F445" s="238">
        <v>0</v>
      </c>
      <c r="G445" s="43">
        <v>0</v>
      </c>
      <c r="H445" s="41">
        <f t="shared" ref="H445:H466" si="10">D445-F445+G445</f>
        <v>20000000</v>
      </c>
      <c r="I445" s="37"/>
    </row>
    <row r="446" spans="1:9">
      <c r="A446" s="368">
        <v>3</v>
      </c>
      <c r="B446" s="92">
        <v>22100498</v>
      </c>
      <c r="C446" s="93" t="s">
        <v>571</v>
      </c>
      <c r="D446" s="94">
        <v>6000000</v>
      </c>
      <c r="E446" s="238">
        <v>0</v>
      </c>
      <c r="F446" s="238">
        <v>0</v>
      </c>
      <c r="G446" s="43">
        <v>0</v>
      </c>
      <c r="H446" s="41">
        <f t="shared" si="10"/>
        <v>6000000</v>
      </c>
      <c r="I446" s="37"/>
    </row>
    <row r="447" spans="1:9">
      <c r="A447" s="368">
        <v>4</v>
      </c>
      <c r="B447" s="92">
        <v>22100499</v>
      </c>
      <c r="C447" s="93" t="s">
        <v>572</v>
      </c>
      <c r="D447" s="94">
        <v>4000000</v>
      </c>
      <c r="E447" s="238">
        <v>0</v>
      </c>
      <c r="F447" s="238">
        <v>0</v>
      </c>
      <c r="G447" s="43">
        <v>0</v>
      </c>
      <c r="H447" s="41">
        <f t="shared" si="10"/>
        <v>4000000</v>
      </c>
      <c r="I447" s="37"/>
    </row>
    <row r="448" spans="1:9">
      <c r="A448" s="368">
        <v>5</v>
      </c>
      <c r="B448" s="92">
        <v>22100501</v>
      </c>
      <c r="C448" s="93" t="s">
        <v>573</v>
      </c>
      <c r="D448" s="94">
        <v>750000</v>
      </c>
      <c r="E448" s="238">
        <v>0</v>
      </c>
      <c r="F448" s="238">
        <v>0</v>
      </c>
      <c r="G448" s="43">
        <v>0</v>
      </c>
      <c r="H448" s="41">
        <f t="shared" si="10"/>
        <v>750000</v>
      </c>
      <c r="I448" s="37"/>
    </row>
    <row r="449" spans="1:10">
      <c r="A449" s="368">
        <v>6</v>
      </c>
      <c r="B449" s="92">
        <v>22100502</v>
      </c>
      <c r="C449" s="93" t="s">
        <v>574</v>
      </c>
      <c r="D449" s="94">
        <v>10000000</v>
      </c>
      <c r="E449" s="367">
        <v>0</v>
      </c>
      <c r="F449" s="235">
        <v>5000000</v>
      </c>
      <c r="G449" s="43">
        <v>0</v>
      </c>
      <c r="H449" s="41">
        <f t="shared" si="10"/>
        <v>5000000</v>
      </c>
      <c r="I449" s="171"/>
    </row>
    <row r="450" spans="1:10" ht="23.25">
      <c r="A450" s="368">
        <v>7</v>
      </c>
      <c r="B450" s="92">
        <v>22100503</v>
      </c>
      <c r="C450" s="93" t="s">
        <v>575</v>
      </c>
      <c r="D450" s="94">
        <v>8000000</v>
      </c>
      <c r="E450" s="238">
        <v>0</v>
      </c>
      <c r="F450" s="238">
        <v>5000000</v>
      </c>
      <c r="G450" s="43">
        <v>0</v>
      </c>
      <c r="H450" s="41">
        <f t="shared" si="10"/>
        <v>3000000</v>
      </c>
      <c r="I450" s="236"/>
    </row>
    <row r="451" spans="1:10" ht="23.25">
      <c r="A451" s="368">
        <v>8</v>
      </c>
      <c r="B451" s="92">
        <v>22100504</v>
      </c>
      <c r="C451" s="93" t="s">
        <v>576</v>
      </c>
      <c r="D451" s="94">
        <v>1000000</v>
      </c>
      <c r="E451" s="238">
        <v>0</v>
      </c>
      <c r="F451" s="238">
        <v>0</v>
      </c>
      <c r="G451" s="43">
        <v>0</v>
      </c>
      <c r="H451" s="41">
        <f t="shared" si="10"/>
        <v>1000000</v>
      </c>
      <c r="I451" s="37"/>
    </row>
    <row r="452" spans="1:10" ht="23.25">
      <c r="A452" s="368">
        <v>9</v>
      </c>
      <c r="B452" s="92">
        <v>22100505</v>
      </c>
      <c r="C452" s="93" t="s">
        <v>577</v>
      </c>
      <c r="D452" s="94">
        <v>5000000</v>
      </c>
      <c r="E452" s="238">
        <v>0</v>
      </c>
      <c r="F452" s="238">
        <v>0</v>
      </c>
      <c r="G452" s="43">
        <v>0</v>
      </c>
      <c r="H452" s="41">
        <f t="shared" si="10"/>
        <v>5000000</v>
      </c>
      <c r="I452" s="171"/>
    </row>
    <row r="453" spans="1:10" ht="23.25">
      <c r="A453" s="368">
        <v>10</v>
      </c>
      <c r="B453" s="92">
        <v>22100506</v>
      </c>
      <c r="C453" s="93" t="s">
        <v>578</v>
      </c>
      <c r="D453" s="94">
        <v>1000000</v>
      </c>
      <c r="E453" s="238">
        <v>0</v>
      </c>
      <c r="F453" s="238">
        <v>0</v>
      </c>
      <c r="G453" s="43">
        <v>0</v>
      </c>
      <c r="H453" s="41">
        <f t="shared" si="10"/>
        <v>1000000</v>
      </c>
      <c r="I453" s="37"/>
    </row>
    <row r="454" spans="1:10" ht="34.5">
      <c r="A454" s="368">
        <v>11</v>
      </c>
      <c r="B454" s="92">
        <v>22100507</v>
      </c>
      <c r="C454" s="93" t="s">
        <v>579</v>
      </c>
      <c r="D454" s="94">
        <v>2500000</v>
      </c>
      <c r="E454" s="238">
        <v>0</v>
      </c>
      <c r="F454" s="238">
        <v>0</v>
      </c>
      <c r="G454" s="43">
        <v>0</v>
      </c>
      <c r="H454" s="41">
        <f t="shared" si="10"/>
        <v>2500000</v>
      </c>
      <c r="I454" s="37"/>
    </row>
    <row r="455" spans="1:10" ht="23.25">
      <c r="A455" s="368">
        <v>12</v>
      </c>
      <c r="B455" s="92">
        <v>22100508</v>
      </c>
      <c r="C455" s="93" t="s">
        <v>580</v>
      </c>
      <c r="D455" s="94">
        <v>30000000</v>
      </c>
      <c r="E455" s="238">
        <v>0</v>
      </c>
      <c r="F455" s="238">
        <v>5000000</v>
      </c>
      <c r="G455" s="43">
        <v>0</v>
      </c>
      <c r="H455" s="41">
        <f t="shared" si="10"/>
        <v>25000000</v>
      </c>
      <c r="I455" s="37"/>
    </row>
    <row r="456" spans="1:10" ht="26.25" customHeight="1">
      <c r="A456" s="368">
        <v>13</v>
      </c>
      <c r="B456" s="92">
        <v>22100509</v>
      </c>
      <c r="C456" s="93" t="s">
        <v>581</v>
      </c>
      <c r="D456" s="94">
        <v>5000000</v>
      </c>
      <c r="E456" s="238">
        <v>0</v>
      </c>
      <c r="F456" s="238">
        <v>0</v>
      </c>
      <c r="G456" s="43">
        <v>0</v>
      </c>
      <c r="H456" s="41">
        <f t="shared" si="10"/>
        <v>5000000</v>
      </c>
      <c r="I456" s="171"/>
    </row>
    <row r="457" spans="1:10">
      <c r="A457" s="368">
        <v>14</v>
      </c>
      <c r="B457" s="92">
        <v>22100510</v>
      </c>
      <c r="C457" s="93" t="s">
        <v>582</v>
      </c>
      <c r="D457" s="94">
        <v>45000000</v>
      </c>
      <c r="E457" s="238">
        <v>0</v>
      </c>
      <c r="F457" s="238">
        <v>20000000</v>
      </c>
      <c r="G457" s="43">
        <v>0</v>
      </c>
      <c r="H457" s="41">
        <f t="shared" si="10"/>
        <v>25000000</v>
      </c>
      <c r="I457" s="37"/>
    </row>
    <row r="458" spans="1:10" ht="23.25">
      <c r="A458" s="368">
        <v>15</v>
      </c>
      <c r="B458" s="92">
        <v>22100511</v>
      </c>
      <c r="C458" s="93" t="s">
        <v>583</v>
      </c>
      <c r="D458" s="94">
        <v>12000000</v>
      </c>
      <c r="E458" s="238">
        <v>0</v>
      </c>
      <c r="F458" s="238">
        <v>0</v>
      </c>
      <c r="G458" s="43">
        <v>0</v>
      </c>
      <c r="H458" s="41">
        <f t="shared" si="10"/>
        <v>12000000</v>
      </c>
      <c r="I458" s="37"/>
    </row>
    <row r="459" spans="1:10">
      <c r="A459" s="368">
        <v>16</v>
      </c>
      <c r="B459" s="92">
        <v>22100512</v>
      </c>
      <c r="C459" s="93" t="s">
        <v>584</v>
      </c>
      <c r="D459" s="94">
        <v>2000000</v>
      </c>
      <c r="E459" s="238">
        <v>0</v>
      </c>
      <c r="F459" s="238">
        <v>0</v>
      </c>
      <c r="G459" s="43">
        <v>0</v>
      </c>
      <c r="H459" s="41">
        <f t="shared" si="10"/>
        <v>2000000</v>
      </c>
      <c r="I459" s="37"/>
    </row>
    <row r="460" spans="1:10">
      <c r="A460" s="368">
        <v>17</v>
      </c>
      <c r="B460" s="92">
        <v>22100513</v>
      </c>
      <c r="C460" s="93" t="s">
        <v>585</v>
      </c>
      <c r="D460" s="98">
        <v>0</v>
      </c>
      <c r="E460" s="238">
        <v>0</v>
      </c>
      <c r="F460" s="238">
        <v>0</v>
      </c>
      <c r="G460" s="43">
        <v>0</v>
      </c>
      <c r="H460" s="41">
        <f t="shared" si="10"/>
        <v>0</v>
      </c>
      <c r="I460" s="236"/>
    </row>
    <row r="461" spans="1:10" ht="23.25">
      <c r="A461" s="368">
        <v>18</v>
      </c>
      <c r="B461" s="92">
        <v>22100514</v>
      </c>
      <c r="C461" s="93" t="s">
        <v>586</v>
      </c>
      <c r="D461" s="94">
        <v>1000000</v>
      </c>
      <c r="E461" s="235">
        <v>0</v>
      </c>
      <c r="F461" s="238">
        <v>0</v>
      </c>
      <c r="G461" s="43">
        <v>0</v>
      </c>
      <c r="H461" s="41">
        <f t="shared" si="10"/>
        <v>1000000</v>
      </c>
      <c r="I461" s="37"/>
    </row>
    <row r="462" spans="1:10" ht="36.75">
      <c r="A462" s="58" t="s">
        <v>0</v>
      </c>
      <c r="B462" s="108" t="s">
        <v>38</v>
      </c>
      <c r="C462" s="108" t="s">
        <v>39</v>
      </c>
      <c r="D462" s="108" t="s">
        <v>212</v>
      </c>
      <c r="E462" s="108" t="s">
        <v>466</v>
      </c>
      <c r="F462" s="107" t="s">
        <v>777</v>
      </c>
      <c r="G462" s="108" t="s">
        <v>40</v>
      </c>
      <c r="H462" s="108" t="s">
        <v>492</v>
      </c>
      <c r="I462" s="108" t="s">
        <v>311</v>
      </c>
      <c r="J462" s="3"/>
    </row>
    <row r="463" spans="1:10">
      <c r="A463" s="368">
        <v>19</v>
      </c>
      <c r="B463" s="92">
        <v>22100515</v>
      </c>
      <c r="C463" s="93" t="s">
        <v>587</v>
      </c>
      <c r="D463" s="94">
        <v>750000</v>
      </c>
      <c r="E463" s="238">
        <v>0</v>
      </c>
      <c r="F463" s="238">
        <v>0</v>
      </c>
      <c r="G463" s="43">
        <v>0</v>
      </c>
      <c r="H463" s="41">
        <f t="shared" si="10"/>
        <v>750000</v>
      </c>
      <c r="I463" s="37"/>
    </row>
    <row r="464" spans="1:10">
      <c r="A464" s="368">
        <v>20</v>
      </c>
      <c r="B464" s="92">
        <v>22100516</v>
      </c>
      <c r="C464" s="93" t="s">
        <v>588</v>
      </c>
      <c r="D464" s="94">
        <v>500000</v>
      </c>
      <c r="E464" s="238">
        <v>0</v>
      </c>
      <c r="F464" s="238">
        <v>0</v>
      </c>
      <c r="G464" s="43">
        <v>0</v>
      </c>
      <c r="H464" s="41">
        <f t="shared" si="10"/>
        <v>500000</v>
      </c>
      <c r="I464" s="37"/>
    </row>
    <row r="465" spans="1:9" ht="23.25">
      <c r="A465" s="368">
        <v>21</v>
      </c>
      <c r="B465" s="92">
        <v>22100517</v>
      </c>
      <c r="C465" s="93" t="s">
        <v>589</v>
      </c>
      <c r="D465" s="94">
        <v>10000000</v>
      </c>
      <c r="E465" s="238">
        <v>0</v>
      </c>
      <c r="F465" s="238">
        <v>0</v>
      </c>
      <c r="G465" s="43">
        <v>0</v>
      </c>
      <c r="H465" s="41">
        <f t="shared" si="10"/>
        <v>10000000</v>
      </c>
      <c r="I465" s="171"/>
    </row>
    <row r="466" spans="1:9">
      <c r="A466" s="347">
        <v>22</v>
      </c>
      <c r="B466" s="92">
        <v>22100642</v>
      </c>
      <c r="C466" s="93" t="s">
        <v>590</v>
      </c>
      <c r="D466" s="94">
        <v>160000000</v>
      </c>
      <c r="E466" s="377">
        <v>160000000</v>
      </c>
      <c r="F466" s="238">
        <v>0</v>
      </c>
      <c r="G466" s="101">
        <v>115000000</v>
      </c>
      <c r="H466" s="41">
        <f t="shared" si="10"/>
        <v>275000000</v>
      </c>
      <c r="I466" s="37" t="s">
        <v>310</v>
      </c>
    </row>
    <row r="467" spans="1:9">
      <c r="A467" s="37"/>
      <c r="B467" s="34"/>
      <c r="C467" s="179" t="s">
        <v>41</v>
      </c>
      <c r="D467" s="102">
        <f>SUM(D444:D466)</f>
        <v>327000000</v>
      </c>
      <c r="E467" s="102">
        <f>SUM(E445:E466)</f>
        <v>160000000</v>
      </c>
      <c r="F467" s="238">
        <v>0</v>
      </c>
      <c r="G467" s="102">
        <f>SUM(G445:G466)</f>
        <v>115000000</v>
      </c>
      <c r="H467" s="102">
        <f>SUM(H444:H466)</f>
        <v>407000000</v>
      </c>
      <c r="I467" s="37"/>
    </row>
    <row r="471" spans="1:9">
      <c r="G471" s="112"/>
    </row>
    <row r="494" spans="1:9">
      <c r="A494" s="684" t="s">
        <v>659</v>
      </c>
      <c r="B494" s="684"/>
      <c r="C494" s="684"/>
      <c r="D494" s="684"/>
      <c r="E494" s="684"/>
      <c r="F494" s="684"/>
      <c r="G494" s="684"/>
      <c r="H494" s="684"/>
      <c r="I494" s="684"/>
    </row>
    <row r="495" spans="1:9">
      <c r="A495" s="684" t="s">
        <v>660</v>
      </c>
      <c r="B495" s="684"/>
      <c r="C495" s="684"/>
      <c r="D495" s="684"/>
      <c r="E495" s="684"/>
      <c r="F495" s="684"/>
      <c r="G495" s="684"/>
      <c r="H495" s="684"/>
      <c r="I495" s="684"/>
    </row>
    <row r="496" spans="1:9">
      <c r="A496" s="684" t="s">
        <v>37</v>
      </c>
      <c r="B496" s="684"/>
      <c r="C496" s="684"/>
      <c r="D496" s="684"/>
      <c r="E496" s="684"/>
      <c r="F496" s="684"/>
      <c r="G496" s="684"/>
      <c r="H496" s="684"/>
      <c r="I496" s="684"/>
    </row>
    <row r="497" spans="1:9">
      <c r="A497" s="224"/>
      <c r="B497" s="224"/>
      <c r="C497" s="224"/>
      <c r="D497" s="224"/>
      <c r="E497" s="224"/>
      <c r="F497" s="622"/>
      <c r="G497" s="224"/>
      <c r="H497" s="224"/>
    </row>
    <row r="498" spans="1:9">
      <c r="A498" s="119" t="s">
        <v>372</v>
      </c>
      <c r="B498" s="104"/>
      <c r="C498" s="104"/>
      <c r="D498" s="104"/>
      <c r="E498" s="104"/>
      <c r="F498" s="104"/>
      <c r="G498" s="104"/>
      <c r="H498" s="105"/>
    </row>
    <row r="499" spans="1:9">
      <c r="A499" s="105"/>
      <c r="B499" s="224"/>
      <c r="C499" s="105"/>
      <c r="D499" s="105"/>
      <c r="E499" s="105"/>
      <c r="F499" s="105"/>
      <c r="G499" s="105"/>
      <c r="H499" s="105"/>
    </row>
    <row r="500" spans="1:9">
      <c r="A500" s="106" t="s">
        <v>373</v>
      </c>
      <c r="B500" s="106"/>
      <c r="C500" s="106"/>
      <c r="D500" s="105"/>
      <c r="E500" s="105"/>
      <c r="F500" s="105"/>
      <c r="G500" s="105"/>
      <c r="H500" s="105"/>
    </row>
    <row r="501" spans="1:9" ht="36.75">
      <c r="A501" s="58" t="s">
        <v>0</v>
      </c>
      <c r="B501" s="107" t="s">
        <v>38</v>
      </c>
      <c r="C501" s="107" t="s">
        <v>39</v>
      </c>
      <c r="D501" s="107" t="s">
        <v>212</v>
      </c>
      <c r="E501" s="107" t="s">
        <v>466</v>
      </c>
      <c r="F501" s="107" t="s">
        <v>777</v>
      </c>
      <c r="G501" s="108" t="s">
        <v>40</v>
      </c>
      <c r="H501" s="108" t="s">
        <v>492</v>
      </c>
      <c r="I501" s="108" t="s">
        <v>311</v>
      </c>
    </row>
    <row r="502" spans="1:9">
      <c r="A502" s="42">
        <v>1</v>
      </c>
      <c r="B502" s="92">
        <v>22100204</v>
      </c>
      <c r="C502" s="93" t="s">
        <v>242</v>
      </c>
      <c r="D502" s="94">
        <v>1000000</v>
      </c>
      <c r="E502" s="238">
        <v>0</v>
      </c>
      <c r="F502" s="238">
        <v>0</v>
      </c>
      <c r="G502" s="43">
        <v>0</v>
      </c>
      <c r="H502" s="41">
        <f t="shared" ref="H502:H523" si="11">D502+G502</f>
        <v>1000000</v>
      </c>
      <c r="I502" s="37"/>
    </row>
    <row r="503" spans="1:9">
      <c r="A503" s="42">
        <v>2</v>
      </c>
      <c r="B503" s="92">
        <v>22100521</v>
      </c>
      <c r="C503" s="93" t="s">
        <v>374</v>
      </c>
      <c r="D503" s="94">
        <v>55000000</v>
      </c>
      <c r="E503" s="238">
        <v>0</v>
      </c>
      <c r="F503" s="238">
        <v>0</v>
      </c>
      <c r="G503" s="43">
        <v>0</v>
      </c>
      <c r="H503" s="41">
        <f t="shared" si="11"/>
        <v>55000000</v>
      </c>
      <c r="I503" s="37"/>
    </row>
    <row r="504" spans="1:9">
      <c r="A504" s="42">
        <v>3</v>
      </c>
      <c r="B504" s="92">
        <v>22100522</v>
      </c>
      <c r="C504" s="93" t="s">
        <v>325</v>
      </c>
      <c r="D504" s="94">
        <v>50000000</v>
      </c>
      <c r="E504" s="238">
        <v>0</v>
      </c>
      <c r="F504" s="238">
        <v>0</v>
      </c>
      <c r="G504" s="43">
        <v>0</v>
      </c>
      <c r="H504" s="41">
        <f t="shared" si="11"/>
        <v>50000000</v>
      </c>
      <c r="I504" s="37"/>
    </row>
    <row r="505" spans="1:9">
      <c r="A505" s="42">
        <v>4</v>
      </c>
      <c r="B505" s="92">
        <v>22100523</v>
      </c>
      <c r="C505" s="93" t="s">
        <v>375</v>
      </c>
      <c r="D505" s="94">
        <v>160000000</v>
      </c>
      <c r="E505" s="238">
        <v>0</v>
      </c>
      <c r="F505" s="238">
        <v>0</v>
      </c>
      <c r="G505" s="43">
        <v>0</v>
      </c>
      <c r="H505" s="41">
        <f t="shared" si="11"/>
        <v>160000000</v>
      </c>
      <c r="I505" s="37"/>
    </row>
    <row r="506" spans="1:9">
      <c r="A506" s="42">
        <v>5</v>
      </c>
      <c r="B506" s="92">
        <v>22100524</v>
      </c>
      <c r="C506" s="93" t="s">
        <v>376</v>
      </c>
      <c r="D506" s="94">
        <v>75000000</v>
      </c>
      <c r="E506" s="238">
        <v>0</v>
      </c>
      <c r="F506" s="238">
        <v>0</v>
      </c>
      <c r="G506" s="43">
        <v>0</v>
      </c>
      <c r="H506" s="41">
        <f t="shared" si="11"/>
        <v>75000000</v>
      </c>
      <c r="I506" s="37"/>
    </row>
    <row r="507" spans="1:9">
      <c r="A507" s="42">
        <v>6</v>
      </c>
      <c r="B507" s="92">
        <v>22100525</v>
      </c>
      <c r="C507" s="93" t="s">
        <v>377</v>
      </c>
      <c r="D507" s="94">
        <v>5000000</v>
      </c>
      <c r="E507" s="234">
        <v>4600900</v>
      </c>
      <c r="F507" s="235">
        <v>0</v>
      </c>
      <c r="G507" s="43">
        <v>1500000</v>
      </c>
      <c r="H507" s="41">
        <f t="shared" si="11"/>
        <v>6500000</v>
      </c>
      <c r="I507" s="171" t="s">
        <v>310</v>
      </c>
    </row>
    <row r="508" spans="1:9">
      <c r="A508" s="42">
        <v>7</v>
      </c>
      <c r="B508" s="92">
        <v>22100526</v>
      </c>
      <c r="C508" s="93" t="s">
        <v>378</v>
      </c>
      <c r="D508" s="94">
        <v>4000000</v>
      </c>
      <c r="E508" s="238">
        <v>0</v>
      </c>
      <c r="F508" s="238">
        <v>0</v>
      </c>
      <c r="G508" s="43">
        <v>0</v>
      </c>
      <c r="H508" s="41">
        <f t="shared" si="11"/>
        <v>4000000</v>
      </c>
      <c r="I508" s="236"/>
    </row>
    <row r="509" spans="1:9">
      <c r="A509" s="42">
        <v>8</v>
      </c>
      <c r="B509" s="92">
        <v>22100527</v>
      </c>
      <c r="C509" s="93" t="s">
        <v>379</v>
      </c>
      <c r="D509" s="94">
        <v>6000000</v>
      </c>
      <c r="E509" s="238">
        <v>0</v>
      </c>
      <c r="F509" s="238">
        <v>0</v>
      </c>
      <c r="G509" s="43">
        <v>0</v>
      </c>
      <c r="H509" s="96">
        <f t="shared" si="11"/>
        <v>6000000</v>
      </c>
      <c r="I509" s="37"/>
    </row>
    <row r="510" spans="1:9" ht="23.25">
      <c r="A510" s="42">
        <v>9</v>
      </c>
      <c r="B510" s="92">
        <v>22100528</v>
      </c>
      <c r="C510" s="93" t="s">
        <v>380</v>
      </c>
      <c r="D510" s="94">
        <v>50000000</v>
      </c>
      <c r="E510" s="238">
        <v>0</v>
      </c>
      <c r="F510" s="238">
        <v>0</v>
      </c>
      <c r="G510" s="43">
        <v>0</v>
      </c>
      <c r="H510" s="41">
        <f t="shared" si="11"/>
        <v>50000000</v>
      </c>
      <c r="I510" s="171"/>
    </row>
    <row r="511" spans="1:9">
      <c r="A511" s="42">
        <v>10</v>
      </c>
      <c r="B511" s="92">
        <v>22100529</v>
      </c>
      <c r="C511" s="93" t="s">
        <v>381</v>
      </c>
      <c r="D511" s="94">
        <v>4000000</v>
      </c>
      <c r="E511" s="238">
        <v>0</v>
      </c>
      <c r="F511" s="238">
        <v>0</v>
      </c>
      <c r="G511" s="43">
        <v>0</v>
      </c>
      <c r="H511" s="41">
        <f t="shared" si="11"/>
        <v>4000000</v>
      </c>
      <c r="I511" s="37"/>
    </row>
    <row r="512" spans="1:9" ht="23.25">
      <c r="A512" s="42">
        <v>11</v>
      </c>
      <c r="B512" s="92">
        <v>22100530</v>
      </c>
      <c r="C512" s="93" t="s">
        <v>382</v>
      </c>
      <c r="D512" s="94">
        <v>7000000</v>
      </c>
      <c r="E512" s="238">
        <v>0</v>
      </c>
      <c r="F512" s="238">
        <v>0</v>
      </c>
      <c r="G512" s="43">
        <v>0</v>
      </c>
      <c r="H512" s="41">
        <f t="shared" si="11"/>
        <v>7000000</v>
      </c>
      <c r="I512" s="37"/>
    </row>
    <row r="513" spans="1:9" ht="23.25">
      <c r="A513" s="42">
        <v>12</v>
      </c>
      <c r="B513" s="92">
        <v>22100531</v>
      </c>
      <c r="C513" s="93" t="s">
        <v>383</v>
      </c>
      <c r="D513" s="235">
        <v>0</v>
      </c>
      <c r="E513" s="238">
        <v>0</v>
      </c>
      <c r="F513" s="238">
        <v>0</v>
      </c>
      <c r="G513" s="43">
        <v>0</v>
      </c>
      <c r="H513" s="41">
        <f t="shared" si="11"/>
        <v>0</v>
      </c>
      <c r="I513" s="37"/>
    </row>
    <row r="514" spans="1:9">
      <c r="A514" s="42">
        <v>13</v>
      </c>
      <c r="B514" s="92">
        <v>22100532</v>
      </c>
      <c r="C514" s="93" t="s">
        <v>384</v>
      </c>
      <c r="D514" s="94">
        <v>3000000</v>
      </c>
      <c r="E514" s="238">
        <v>0</v>
      </c>
      <c r="F514" s="238">
        <v>0</v>
      </c>
      <c r="G514" s="43">
        <v>0</v>
      </c>
      <c r="H514" s="41">
        <f t="shared" si="11"/>
        <v>3000000</v>
      </c>
      <c r="I514" s="171"/>
    </row>
    <row r="515" spans="1:9" ht="34.5">
      <c r="A515" s="42">
        <v>14</v>
      </c>
      <c r="B515" s="92">
        <v>22100533</v>
      </c>
      <c r="C515" s="93" t="s">
        <v>385</v>
      </c>
      <c r="D515" s="94">
        <v>8000000</v>
      </c>
      <c r="E515" s="238">
        <v>0</v>
      </c>
      <c r="F515" s="238">
        <v>0</v>
      </c>
      <c r="G515" s="43">
        <v>0</v>
      </c>
      <c r="H515" s="41">
        <f t="shared" si="11"/>
        <v>8000000</v>
      </c>
      <c r="I515" s="37"/>
    </row>
    <row r="516" spans="1:9" ht="23.25">
      <c r="A516" s="42">
        <v>15</v>
      </c>
      <c r="B516" s="92">
        <v>22100534</v>
      </c>
      <c r="C516" s="93" t="s">
        <v>386</v>
      </c>
      <c r="D516" s="94">
        <v>3000000</v>
      </c>
      <c r="E516" s="238">
        <v>0</v>
      </c>
      <c r="F516" s="238">
        <v>0</v>
      </c>
      <c r="G516" s="43">
        <v>0</v>
      </c>
      <c r="H516" s="41">
        <f t="shared" si="11"/>
        <v>3000000</v>
      </c>
      <c r="I516" s="37"/>
    </row>
    <row r="517" spans="1:9" ht="23.25">
      <c r="A517" s="42">
        <v>16</v>
      </c>
      <c r="B517" s="92">
        <v>22100535</v>
      </c>
      <c r="C517" s="93" t="s">
        <v>387</v>
      </c>
      <c r="D517" s="94">
        <v>2000000</v>
      </c>
      <c r="E517" s="238">
        <v>0</v>
      </c>
      <c r="F517" s="238">
        <v>0</v>
      </c>
      <c r="G517" s="43">
        <v>0</v>
      </c>
      <c r="H517" s="41">
        <f t="shared" si="11"/>
        <v>2000000</v>
      </c>
      <c r="I517" s="37"/>
    </row>
    <row r="518" spans="1:9" ht="23.25">
      <c r="A518" s="42">
        <v>17</v>
      </c>
      <c r="B518" s="92">
        <v>22100536</v>
      </c>
      <c r="C518" s="93" t="s">
        <v>388</v>
      </c>
      <c r="D518" s="235">
        <v>0</v>
      </c>
      <c r="E518" s="238">
        <v>0</v>
      </c>
      <c r="F518" s="238">
        <v>0</v>
      </c>
      <c r="G518" s="43">
        <v>0</v>
      </c>
      <c r="H518" s="41">
        <f t="shared" si="11"/>
        <v>0</v>
      </c>
      <c r="I518" s="236"/>
    </row>
    <row r="519" spans="1:9">
      <c r="A519" s="42">
        <v>18</v>
      </c>
      <c r="B519" s="92">
        <v>22100537</v>
      </c>
      <c r="C519" s="93" t="s">
        <v>389</v>
      </c>
      <c r="D519" s="94">
        <v>2000000</v>
      </c>
      <c r="E519" s="238">
        <v>0</v>
      </c>
      <c r="F519" s="238">
        <v>0</v>
      </c>
      <c r="G519" s="43">
        <v>0</v>
      </c>
      <c r="H519" s="41">
        <f t="shared" si="11"/>
        <v>2000000</v>
      </c>
      <c r="I519" s="37"/>
    </row>
    <row r="520" spans="1:9" ht="23.25">
      <c r="A520" s="42">
        <v>19</v>
      </c>
      <c r="B520" s="92">
        <v>22100538</v>
      </c>
      <c r="C520" s="93" t="s">
        <v>390</v>
      </c>
      <c r="D520" s="94">
        <v>3000000</v>
      </c>
      <c r="E520" s="238">
        <v>0</v>
      </c>
      <c r="F520" s="238">
        <v>0</v>
      </c>
      <c r="G520" s="43">
        <v>0</v>
      </c>
      <c r="H520" s="41">
        <f t="shared" si="11"/>
        <v>3000000</v>
      </c>
      <c r="I520" s="37"/>
    </row>
    <row r="521" spans="1:9">
      <c r="A521" s="42">
        <v>20</v>
      </c>
      <c r="B521" s="92">
        <v>22100539</v>
      </c>
      <c r="C521" s="93" t="s">
        <v>391</v>
      </c>
      <c r="D521" s="235">
        <v>0</v>
      </c>
      <c r="E521" s="235">
        <v>0</v>
      </c>
      <c r="F521" s="238">
        <v>0</v>
      </c>
      <c r="G521" s="43">
        <v>0</v>
      </c>
      <c r="H521" s="41">
        <f t="shared" si="11"/>
        <v>0</v>
      </c>
      <c r="I521" s="37"/>
    </row>
    <row r="522" spans="1:9" ht="26.25" customHeight="1">
      <c r="A522" s="58" t="s">
        <v>0</v>
      </c>
      <c r="B522" s="108" t="s">
        <v>38</v>
      </c>
      <c r="C522" s="108" t="s">
        <v>39</v>
      </c>
      <c r="D522" s="108" t="s">
        <v>212</v>
      </c>
      <c r="E522" s="108" t="s">
        <v>466</v>
      </c>
      <c r="F522" s="108"/>
      <c r="G522" s="108" t="s">
        <v>40</v>
      </c>
      <c r="H522" s="108" t="s">
        <v>492</v>
      </c>
      <c r="I522" s="108" t="s">
        <v>311</v>
      </c>
    </row>
    <row r="523" spans="1:9">
      <c r="A523" s="42">
        <v>21</v>
      </c>
      <c r="B523" s="92">
        <v>22100540</v>
      </c>
      <c r="C523" s="93" t="s">
        <v>392</v>
      </c>
      <c r="D523" s="94">
        <v>1000000</v>
      </c>
      <c r="E523" s="235">
        <v>0</v>
      </c>
      <c r="F523" s="235">
        <v>0</v>
      </c>
      <c r="G523" s="43">
        <v>0</v>
      </c>
      <c r="H523" s="41">
        <f t="shared" si="11"/>
        <v>1000000</v>
      </c>
      <c r="I523" s="171"/>
    </row>
    <row r="524" spans="1:9" ht="23.25">
      <c r="A524" s="42">
        <v>22</v>
      </c>
      <c r="B524" s="92">
        <v>22100541</v>
      </c>
      <c r="C524" s="93" t="s">
        <v>393</v>
      </c>
      <c r="D524" s="94">
        <v>3000000</v>
      </c>
      <c r="E524" s="235">
        <v>0</v>
      </c>
      <c r="F524" s="235">
        <v>0</v>
      </c>
      <c r="G524" s="43">
        <v>0</v>
      </c>
      <c r="H524" s="41">
        <f t="shared" ref="H524:H539" si="12">D524+G524</f>
        <v>3000000</v>
      </c>
      <c r="I524" s="37"/>
    </row>
    <row r="525" spans="1:9" ht="23.25">
      <c r="A525" s="42">
        <v>23</v>
      </c>
      <c r="B525" s="92">
        <v>22100542</v>
      </c>
      <c r="C525" s="93" t="s">
        <v>394</v>
      </c>
      <c r="D525" s="235">
        <v>0</v>
      </c>
      <c r="E525" s="238">
        <v>0</v>
      </c>
      <c r="F525" s="235">
        <v>0</v>
      </c>
      <c r="G525" s="43">
        <v>0</v>
      </c>
      <c r="H525" s="41">
        <f t="shared" si="12"/>
        <v>0</v>
      </c>
      <c r="I525" s="37"/>
    </row>
    <row r="526" spans="1:9">
      <c r="A526" s="42">
        <v>24</v>
      </c>
      <c r="B526" s="92">
        <v>22100543</v>
      </c>
      <c r="C526" s="93" t="s">
        <v>395</v>
      </c>
      <c r="D526" s="94">
        <v>3000000</v>
      </c>
      <c r="E526" s="238">
        <v>0</v>
      </c>
      <c r="F526" s="235">
        <v>0</v>
      </c>
      <c r="G526" s="43">
        <v>0</v>
      </c>
      <c r="H526" s="41">
        <f t="shared" si="12"/>
        <v>3000000</v>
      </c>
      <c r="I526" s="37"/>
    </row>
    <row r="527" spans="1:9" ht="23.25">
      <c r="A527" s="42">
        <v>25</v>
      </c>
      <c r="B527" s="92">
        <v>22100544</v>
      </c>
      <c r="C527" s="93" t="s">
        <v>396</v>
      </c>
      <c r="D527" s="235">
        <v>0</v>
      </c>
      <c r="E527" s="238">
        <v>0</v>
      </c>
      <c r="F527" s="235">
        <v>0</v>
      </c>
      <c r="G527" s="43">
        <v>0</v>
      </c>
      <c r="H527" s="41">
        <f t="shared" si="12"/>
        <v>0</v>
      </c>
      <c r="I527" s="171"/>
    </row>
    <row r="528" spans="1:9">
      <c r="A528" s="42">
        <v>26</v>
      </c>
      <c r="B528" s="92">
        <v>22100545</v>
      </c>
      <c r="C528" s="93" t="s">
        <v>397</v>
      </c>
      <c r="D528" s="235">
        <v>0</v>
      </c>
      <c r="E528" s="238">
        <v>0</v>
      </c>
      <c r="F528" s="235">
        <v>0</v>
      </c>
      <c r="G528" s="43">
        <v>0</v>
      </c>
      <c r="H528" s="41">
        <f t="shared" si="12"/>
        <v>0</v>
      </c>
      <c r="I528" s="37"/>
    </row>
    <row r="529" spans="1:9">
      <c r="A529" s="42">
        <v>27</v>
      </c>
      <c r="B529" s="92">
        <v>22100546</v>
      </c>
      <c r="C529" s="93" t="s">
        <v>398</v>
      </c>
      <c r="D529" s="235">
        <v>0</v>
      </c>
      <c r="E529" s="238">
        <v>0</v>
      </c>
      <c r="F529" s="235">
        <v>0</v>
      </c>
      <c r="G529" s="43">
        <v>0</v>
      </c>
      <c r="H529" s="41">
        <f t="shared" si="12"/>
        <v>0</v>
      </c>
      <c r="I529" s="37"/>
    </row>
    <row r="530" spans="1:9">
      <c r="A530" s="42">
        <v>28</v>
      </c>
      <c r="B530" s="92">
        <v>22100547</v>
      </c>
      <c r="C530" s="93" t="s">
        <v>399</v>
      </c>
      <c r="D530" s="235">
        <v>0</v>
      </c>
      <c r="E530" s="238">
        <v>0</v>
      </c>
      <c r="F530" s="235">
        <v>0</v>
      </c>
      <c r="G530" s="43">
        <v>0</v>
      </c>
      <c r="H530" s="41">
        <f t="shared" si="12"/>
        <v>0</v>
      </c>
      <c r="I530" s="37"/>
    </row>
    <row r="531" spans="1:9">
      <c r="A531" s="42">
        <v>29</v>
      </c>
      <c r="B531" s="92">
        <v>22100548</v>
      </c>
      <c r="C531" s="93" t="s">
        <v>400</v>
      </c>
      <c r="D531" s="235">
        <v>0</v>
      </c>
      <c r="E531" s="238">
        <v>0</v>
      </c>
      <c r="F531" s="235">
        <v>0</v>
      </c>
      <c r="G531" s="43">
        <v>0</v>
      </c>
      <c r="H531" s="41">
        <f t="shared" si="12"/>
        <v>0</v>
      </c>
      <c r="I531" s="37"/>
    </row>
    <row r="532" spans="1:9" ht="23.25">
      <c r="A532" s="42">
        <v>30</v>
      </c>
      <c r="B532" s="92">
        <v>22100549</v>
      </c>
      <c r="C532" s="93" t="s">
        <v>401</v>
      </c>
      <c r="D532" s="235">
        <v>0</v>
      </c>
      <c r="E532" s="238">
        <v>0</v>
      </c>
      <c r="F532" s="235">
        <v>0</v>
      </c>
      <c r="G532" s="43">
        <v>0</v>
      </c>
      <c r="H532" s="41">
        <f t="shared" si="12"/>
        <v>0</v>
      </c>
      <c r="I532" s="37"/>
    </row>
    <row r="533" spans="1:9">
      <c r="A533" s="42">
        <v>31</v>
      </c>
      <c r="B533" s="92">
        <v>22100550</v>
      </c>
      <c r="C533" s="93" t="s">
        <v>402</v>
      </c>
      <c r="D533" s="235">
        <v>0</v>
      </c>
      <c r="E533" s="238">
        <v>0</v>
      </c>
      <c r="F533" s="235">
        <v>0</v>
      </c>
      <c r="G533" s="43">
        <v>0</v>
      </c>
      <c r="H533" s="41">
        <f t="shared" si="12"/>
        <v>0</v>
      </c>
      <c r="I533" s="37"/>
    </row>
    <row r="534" spans="1:9">
      <c r="A534" s="42">
        <v>32</v>
      </c>
      <c r="B534" s="92">
        <v>22100551</v>
      </c>
      <c r="C534" s="93" t="s">
        <v>403</v>
      </c>
      <c r="D534" s="235">
        <v>0</v>
      </c>
      <c r="E534" s="238">
        <v>0</v>
      </c>
      <c r="F534" s="235">
        <v>0</v>
      </c>
      <c r="G534" s="43">
        <v>0</v>
      </c>
      <c r="H534" s="41">
        <f t="shared" si="12"/>
        <v>0</v>
      </c>
      <c r="I534" s="37"/>
    </row>
    <row r="535" spans="1:9" ht="34.5">
      <c r="A535" s="42">
        <v>33</v>
      </c>
      <c r="B535" s="92">
        <v>22100552</v>
      </c>
      <c r="C535" s="93" t="s">
        <v>404</v>
      </c>
      <c r="D535" s="235">
        <v>0</v>
      </c>
      <c r="E535" s="238">
        <v>0</v>
      </c>
      <c r="F535" s="235">
        <v>0</v>
      </c>
      <c r="G535" s="43">
        <v>0</v>
      </c>
      <c r="H535" s="41">
        <f t="shared" si="12"/>
        <v>0</v>
      </c>
      <c r="I535" s="37"/>
    </row>
    <row r="536" spans="1:9" ht="23.25">
      <c r="A536" s="42">
        <v>34</v>
      </c>
      <c r="B536" s="92">
        <v>22100553</v>
      </c>
      <c r="C536" s="93" t="s">
        <v>405</v>
      </c>
      <c r="D536" s="235">
        <v>0</v>
      </c>
      <c r="E536" s="238">
        <v>0</v>
      </c>
      <c r="F536" s="235">
        <v>0</v>
      </c>
      <c r="G536" s="43">
        <v>0</v>
      </c>
      <c r="H536" s="41">
        <f t="shared" si="12"/>
        <v>0</v>
      </c>
      <c r="I536" s="37"/>
    </row>
    <row r="537" spans="1:9">
      <c r="A537" s="42">
        <v>35</v>
      </c>
      <c r="B537" s="92">
        <v>22100554</v>
      </c>
      <c r="C537" s="93" t="s">
        <v>406</v>
      </c>
      <c r="D537" s="235">
        <v>0</v>
      </c>
      <c r="E537" s="238">
        <v>0</v>
      </c>
      <c r="F537" s="235">
        <v>0</v>
      </c>
      <c r="G537" s="43">
        <v>0</v>
      </c>
      <c r="H537" s="41">
        <f t="shared" si="12"/>
        <v>0</v>
      </c>
      <c r="I537" s="37"/>
    </row>
    <row r="538" spans="1:9" ht="23.25">
      <c r="A538" s="42">
        <v>36</v>
      </c>
      <c r="B538" s="92">
        <v>22100555</v>
      </c>
      <c r="C538" s="93" t="s">
        <v>407</v>
      </c>
      <c r="D538" s="235">
        <v>0</v>
      </c>
      <c r="E538" s="238">
        <v>0</v>
      </c>
      <c r="F538" s="235">
        <v>0</v>
      </c>
      <c r="G538" s="43">
        <v>0</v>
      </c>
      <c r="H538" s="41">
        <f t="shared" si="12"/>
        <v>0</v>
      </c>
      <c r="I538" s="37"/>
    </row>
    <row r="539" spans="1:9" ht="34.5">
      <c r="A539" s="42">
        <v>37</v>
      </c>
      <c r="B539" s="92">
        <v>22100556</v>
      </c>
      <c r="C539" s="93" t="s">
        <v>408</v>
      </c>
      <c r="D539" s="235">
        <v>0</v>
      </c>
      <c r="E539" s="238">
        <v>0</v>
      </c>
      <c r="F539" s="235">
        <v>0</v>
      </c>
      <c r="G539" s="43">
        <v>0</v>
      </c>
      <c r="H539" s="41">
        <f t="shared" si="12"/>
        <v>0</v>
      </c>
      <c r="I539" s="37"/>
    </row>
    <row r="540" spans="1:9">
      <c r="A540" s="114"/>
      <c r="B540" s="118"/>
      <c r="C540" s="61" t="s">
        <v>41</v>
      </c>
      <c r="D540" s="233">
        <f>SUM(D502:D539)</f>
        <v>445000000</v>
      </c>
      <c r="E540" s="233">
        <f>SUM(E502:E539)</f>
        <v>4600900</v>
      </c>
      <c r="F540" s="235">
        <v>0</v>
      </c>
      <c r="G540" s="233">
        <f>SUM(G502:G539)</f>
        <v>1500000</v>
      </c>
      <c r="H540" s="233">
        <f>SUM(H502:H539)</f>
        <v>446500000</v>
      </c>
      <c r="I540" s="37"/>
    </row>
    <row r="550" spans="1:9">
      <c r="A550" s="684" t="s">
        <v>659</v>
      </c>
      <c r="B550" s="684"/>
      <c r="C550" s="684"/>
      <c r="D550" s="684"/>
      <c r="E550" s="684"/>
      <c r="F550" s="684"/>
      <c r="G550" s="684"/>
      <c r="H550" s="684"/>
      <c r="I550" s="684"/>
    </row>
    <row r="551" spans="1:9">
      <c r="A551" s="684" t="s">
        <v>660</v>
      </c>
      <c r="B551" s="684"/>
      <c r="C551" s="684"/>
      <c r="D551" s="684"/>
      <c r="E551" s="684"/>
      <c r="F551" s="684"/>
      <c r="G551" s="684"/>
      <c r="H551" s="684"/>
      <c r="I551" s="684"/>
    </row>
    <row r="552" spans="1:9">
      <c r="A552" s="684" t="s">
        <v>37</v>
      </c>
      <c r="B552" s="684"/>
      <c r="C552" s="684"/>
      <c r="D552" s="684"/>
      <c r="E552" s="684"/>
      <c r="F552" s="684"/>
      <c r="G552" s="684"/>
      <c r="H552" s="684"/>
      <c r="I552" s="684"/>
    </row>
    <row r="553" spans="1:9">
      <c r="A553" s="290"/>
      <c r="B553" s="290"/>
      <c r="C553" s="290"/>
      <c r="D553" s="290"/>
      <c r="E553" s="290"/>
      <c r="F553" s="622"/>
      <c r="G553" s="290"/>
      <c r="H553" s="290"/>
      <c r="I553" s="112"/>
    </row>
    <row r="554" spans="1:9">
      <c r="A554" s="104" t="s">
        <v>494</v>
      </c>
      <c r="B554" s="104"/>
      <c r="C554" s="104"/>
      <c r="D554" s="104"/>
      <c r="E554" s="104"/>
      <c r="F554" s="104"/>
      <c r="G554" s="104"/>
      <c r="H554" s="105"/>
      <c r="I554" s="112"/>
    </row>
    <row r="555" spans="1:9">
      <c r="A555" s="105"/>
      <c r="B555" s="290"/>
      <c r="C555" s="105"/>
      <c r="D555" s="105"/>
      <c r="E555" s="105"/>
      <c r="F555" s="105"/>
      <c r="G555" s="105"/>
      <c r="H555" s="105"/>
      <c r="I555" s="112"/>
    </row>
    <row r="556" spans="1:9">
      <c r="A556" s="106" t="s">
        <v>495</v>
      </c>
      <c r="B556" s="106"/>
      <c r="C556" s="106"/>
      <c r="D556" s="105"/>
      <c r="E556" s="105"/>
      <c r="F556" s="105"/>
      <c r="G556" s="105"/>
      <c r="H556" s="105"/>
      <c r="I556" s="112"/>
    </row>
    <row r="557" spans="1:9" ht="27.75" customHeight="1">
      <c r="A557" s="58" t="s">
        <v>0</v>
      </c>
      <c r="B557" s="107" t="s">
        <v>38</v>
      </c>
      <c r="C557" s="107" t="s">
        <v>39</v>
      </c>
      <c r="D557" s="107" t="s">
        <v>212</v>
      </c>
      <c r="E557" s="107" t="s">
        <v>466</v>
      </c>
      <c r="F557" s="107" t="s">
        <v>777</v>
      </c>
      <c r="G557" s="108" t="s">
        <v>40</v>
      </c>
      <c r="H557" s="108" t="s">
        <v>492</v>
      </c>
      <c r="I557" s="108" t="s">
        <v>311</v>
      </c>
    </row>
    <row r="558" spans="1:9">
      <c r="A558" s="113">
        <v>1</v>
      </c>
      <c r="B558" s="59">
        <v>22100204</v>
      </c>
      <c r="C558" s="52" t="s">
        <v>242</v>
      </c>
      <c r="D558" s="97">
        <v>3000000</v>
      </c>
      <c r="E558" s="116">
        <v>0</v>
      </c>
      <c r="F558" s="116">
        <v>0</v>
      </c>
      <c r="G558" s="116">
        <v>0</v>
      </c>
      <c r="H558" s="62">
        <f t="shared" ref="H558:H574" si="13">D558+G558</f>
        <v>3000000</v>
      </c>
      <c r="I558" s="37"/>
    </row>
    <row r="559" spans="1:9">
      <c r="A559" s="113">
        <v>2</v>
      </c>
      <c r="B559" s="59">
        <v>22100557</v>
      </c>
      <c r="C559" s="52" t="s">
        <v>243</v>
      </c>
      <c r="D559" s="97">
        <v>27000000</v>
      </c>
      <c r="E559" s="116">
        <v>0</v>
      </c>
      <c r="F559" s="116">
        <v>0</v>
      </c>
      <c r="G559" s="116">
        <v>0</v>
      </c>
      <c r="H559" s="62">
        <f t="shared" si="13"/>
        <v>27000000</v>
      </c>
      <c r="I559" s="37"/>
    </row>
    <row r="560" spans="1:9" ht="24.75">
      <c r="A560" s="113">
        <v>3</v>
      </c>
      <c r="B560" s="59">
        <v>22100558</v>
      </c>
      <c r="C560" s="52" t="s">
        <v>244</v>
      </c>
      <c r="D560" s="97">
        <v>2500000</v>
      </c>
      <c r="E560" s="116">
        <v>0</v>
      </c>
      <c r="F560" s="116">
        <v>0</v>
      </c>
      <c r="G560" s="116">
        <v>0</v>
      </c>
      <c r="H560" s="62">
        <f t="shared" si="13"/>
        <v>2500000</v>
      </c>
      <c r="I560" s="37"/>
    </row>
    <row r="561" spans="1:9" ht="24.75">
      <c r="A561" s="113">
        <v>4</v>
      </c>
      <c r="B561" s="59">
        <v>22100559</v>
      </c>
      <c r="C561" s="52" t="s">
        <v>245</v>
      </c>
      <c r="D561" s="97">
        <v>2000000</v>
      </c>
      <c r="E561" s="116">
        <v>0</v>
      </c>
      <c r="F561" s="116">
        <v>0</v>
      </c>
      <c r="G561" s="117">
        <v>0</v>
      </c>
      <c r="H561" s="62">
        <f t="shared" si="13"/>
        <v>2000000</v>
      </c>
      <c r="I561" s="37"/>
    </row>
    <row r="562" spans="1:9">
      <c r="A562" s="113">
        <v>5</v>
      </c>
      <c r="B562" s="59">
        <v>22100560</v>
      </c>
      <c r="C562" s="52" t="s">
        <v>246</v>
      </c>
      <c r="D562" s="97">
        <v>2000000</v>
      </c>
      <c r="E562" s="116">
        <v>0</v>
      </c>
      <c r="F562" s="116">
        <v>0</v>
      </c>
      <c r="G562" s="117">
        <v>0</v>
      </c>
      <c r="H562" s="62">
        <f t="shared" si="13"/>
        <v>2000000</v>
      </c>
      <c r="I562" s="37"/>
    </row>
    <row r="563" spans="1:9">
      <c r="A563" s="113">
        <v>6</v>
      </c>
      <c r="B563" s="59">
        <v>22100561</v>
      </c>
      <c r="C563" s="52" t="s">
        <v>247</v>
      </c>
      <c r="D563" s="97">
        <v>2000000</v>
      </c>
      <c r="E563" s="116">
        <v>0</v>
      </c>
      <c r="F563" s="116">
        <v>0</v>
      </c>
      <c r="G563" s="117">
        <v>0</v>
      </c>
      <c r="H563" s="62">
        <f t="shared" si="13"/>
        <v>2000000</v>
      </c>
      <c r="I563" s="37"/>
    </row>
    <row r="564" spans="1:9" ht="24.75">
      <c r="A564" s="113">
        <v>7</v>
      </c>
      <c r="B564" s="59">
        <v>22100562</v>
      </c>
      <c r="C564" s="52" t="s">
        <v>248</v>
      </c>
      <c r="D564" s="97">
        <v>3000000</v>
      </c>
      <c r="E564" s="116">
        <v>0</v>
      </c>
      <c r="F564" s="116">
        <v>0</v>
      </c>
      <c r="G564" s="117">
        <v>0</v>
      </c>
      <c r="H564" s="62">
        <f t="shared" si="13"/>
        <v>3000000</v>
      </c>
      <c r="I564" s="37"/>
    </row>
    <row r="565" spans="1:9">
      <c r="A565" s="113">
        <v>8</v>
      </c>
      <c r="B565" s="59">
        <v>22100563</v>
      </c>
      <c r="C565" s="52" t="s">
        <v>249</v>
      </c>
      <c r="D565" s="97">
        <v>5000000</v>
      </c>
      <c r="E565" s="116">
        <v>0</v>
      </c>
      <c r="F565" s="116">
        <v>0</v>
      </c>
      <c r="G565" s="117">
        <v>0</v>
      </c>
      <c r="H565" s="62">
        <f t="shared" si="13"/>
        <v>5000000</v>
      </c>
      <c r="I565" s="37"/>
    </row>
    <row r="566" spans="1:9" ht="48.75">
      <c r="A566" s="113">
        <v>9</v>
      </c>
      <c r="B566" s="59">
        <v>22100564</v>
      </c>
      <c r="C566" s="52" t="s">
        <v>250</v>
      </c>
      <c r="D566" s="97">
        <v>5000000</v>
      </c>
      <c r="E566" s="116">
        <v>0</v>
      </c>
      <c r="F566" s="116">
        <v>0</v>
      </c>
      <c r="G566" s="117">
        <v>0</v>
      </c>
      <c r="H566" s="62">
        <f t="shared" si="13"/>
        <v>5000000</v>
      </c>
      <c r="I566" s="37"/>
    </row>
    <row r="567" spans="1:9">
      <c r="A567" s="113">
        <v>10</v>
      </c>
      <c r="B567" s="59">
        <v>22100565</v>
      </c>
      <c r="C567" s="52" t="s">
        <v>251</v>
      </c>
      <c r="D567" s="97">
        <v>2500000</v>
      </c>
      <c r="E567" s="116">
        <v>0</v>
      </c>
      <c r="F567" s="116">
        <v>0</v>
      </c>
      <c r="G567" s="117">
        <v>0</v>
      </c>
      <c r="H567" s="62">
        <f t="shared" si="13"/>
        <v>2500000</v>
      </c>
      <c r="I567" s="37"/>
    </row>
    <row r="568" spans="1:9" ht="24.75">
      <c r="A568" s="113">
        <v>11</v>
      </c>
      <c r="B568" s="59">
        <v>22100566</v>
      </c>
      <c r="C568" s="52" t="s">
        <v>252</v>
      </c>
      <c r="D568" s="97">
        <v>520000</v>
      </c>
      <c r="E568" s="116">
        <v>0</v>
      </c>
      <c r="F568" s="116">
        <v>0</v>
      </c>
      <c r="G568" s="117">
        <v>0</v>
      </c>
      <c r="H568" s="62">
        <f t="shared" si="13"/>
        <v>520000</v>
      </c>
      <c r="I568" s="37"/>
    </row>
    <row r="569" spans="1:9">
      <c r="A569" s="113">
        <v>12</v>
      </c>
      <c r="B569" s="59">
        <v>22100567</v>
      </c>
      <c r="C569" s="52" t="s">
        <v>253</v>
      </c>
      <c r="D569" s="97">
        <v>1000000</v>
      </c>
      <c r="E569" s="116">
        <v>0</v>
      </c>
      <c r="F569" s="116">
        <v>0</v>
      </c>
      <c r="G569" s="117">
        <v>0</v>
      </c>
      <c r="H569" s="62">
        <f t="shared" si="13"/>
        <v>1000000</v>
      </c>
      <c r="I569" s="37"/>
    </row>
    <row r="570" spans="1:9" ht="24.75">
      <c r="A570" s="113">
        <v>13</v>
      </c>
      <c r="B570" s="59">
        <v>22100568</v>
      </c>
      <c r="C570" s="52" t="s">
        <v>254</v>
      </c>
      <c r="D570" s="97">
        <v>2000000</v>
      </c>
      <c r="E570" s="116">
        <v>0</v>
      </c>
      <c r="F570" s="116">
        <v>0</v>
      </c>
      <c r="G570" s="117">
        <v>0</v>
      </c>
      <c r="H570" s="62">
        <f t="shared" si="13"/>
        <v>2000000</v>
      </c>
      <c r="I570" s="37"/>
    </row>
    <row r="571" spans="1:9" ht="24.75">
      <c r="A571" s="113">
        <v>14</v>
      </c>
      <c r="B571" s="59">
        <v>22100569</v>
      </c>
      <c r="C571" s="52" t="s">
        <v>255</v>
      </c>
      <c r="D571" s="97">
        <v>1000000</v>
      </c>
      <c r="E571" s="116">
        <v>0</v>
      </c>
      <c r="F571" s="116">
        <v>0</v>
      </c>
      <c r="G571" s="117">
        <v>0</v>
      </c>
      <c r="H571" s="62">
        <f t="shared" si="13"/>
        <v>1000000</v>
      </c>
      <c r="I571" s="37"/>
    </row>
    <row r="572" spans="1:9" ht="23.25">
      <c r="A572" s="113">
        <v>15</v>
      </c>
      <c r="B572" s="59">
        <v>22100570</v>
      </c>
      <c r="C572" s="52" t="s">
        <v>566</v>
      </c>
      <c r="D572" s="97">
        <v>17000000</v>
      </c>
      <c r="E572" s="97">
        <v>5280000</v>
      </c>
      <c r="F572" s="116">
        <v>0</v>
      </c>
      <c r="G572" s="62">
        <v>190000000</v>
      </c>
      <c r="H572" s="62">
        <f t="shared" si="13"/>
        <v>207000000</v>
      </c>
      <c r="I572" s="252" t="s">
        <v>465</v>
      </c>
    </row>
    <row r="573" spans="1:9" ht="17.25" customHeight="1">
      <c r="A573" s="113">
        <v>16</v>
      </c>
      <c r="B573" s="59">
        <v>22100637</v>
      </c>
      <c r="C573" s="52" t="s">
        <v>256</v>
      </c>
      <c r="D573" s="97">
        <v>24480000</v>
      </c>
      <c r="E573" s="253">
        <v>0</v>
      </c>
      <c r="F573" s="116">
        <v>0</v>
      </c>
      <c r="G573" s="62">
        <v>0</v>
      </c>
      <c r="H573" s="62">
        <f t="shared" si="13"/>
        <v>24480000</v>
      </c>
      <c r="I573" s="37"/>
    </row>
    <row r="574" spans="1:9" ht="24.75">
      <c r="A574" s="113">
        <v>17</v>
      </c>
      <c r="B574" s="59"/>
      <c r="C574" s="52" t="s">
        <v>657</v>
      </c>
      <c r="D574" s="253">
        <v>0</v>
      </c>
      <c r="E574" s="253">
        <v>0</v>
      </c>
      <c r="F574" s="116">
        <v>0</v>
      </c>
      <c r="G574" s="62">
        <v>8000000</v>
      </c>
      <c r="H574" s="62">
        <f t="shared" si="13"/>
        <v>8000000</v>
      </c>
      <c r="I574" s="37" t="s">
        <v>310</v>
      </c>
    </row>
    <row r="575" spans="1:9">
      <c r="A575" s="114"/>
      <c r="B575" s="118"/>
      <c r="C575" s="110" t="s">
        <v>41</v>
      </c>
      <c r="D575" s="111">
        <f>SUM(D558:D574)</f>
        <v>100000000</v>
      </c>
      <c r="E575" s="109">
        <f>SUM(E558:E574)</f>
        <v>5280000</v>
      </c>
      <c r="F575" s="116">
        <v>0</v>
      </c>
      <c r="G575" s="109">
        <f>SUM(G558:G574)</f>
        <v>198000000</v>
      </c>
      <c r="H575" s="109">
        <f>SUM(H558:H574)</f>
        <v>298000000</v>
      </c>
      <c r="I575" s="37"/>
    </row>
    <row r="577" spans="1:9">
      <c r="A577" s="684" t="s">
        <v>659</v>
      </c>
      <c r="B577" s="684"/>
      <c r="C577" s="684"/>
      <c r="D577" s="684"/>
      <c r="E577" s="684"/>
      <c r="F577" s="684"/>
      <c r="G577" s="684"/>
      <c r="H577" s="684"/>
      <c r="I577" s="684"/>
    </row>
    <row r="578" spans="1:9">
      <c r="A578" s="684" t="s">
        <v>660</v>
      </c>
      <c r="B578" s="684"/>
      <c r="C578" s="684"/>
      <c r="D578" s="684"/>
      <c r="E578" s="684"/>
      <c r="F578" s="684"/>
      <c r="G578" s="684"/>
      <c r="H578" s="684"/>
      <c r="I578" s="684"/>
    </row>
    <row r="579" spans="1:9">
      <c r="A579" s="684" t="s">
        <v>37</v>
      </c>
      <c r="B579" s="684"/>
      <c r="C579" s="684"/>
      <c r="D579" s="684"/>
      <c r="E579" s="684"/>
      <c r="F579" s="684"/>
      <c r="G579" s="684"/>
      <c r="H579" s="684"/>
      <c r="I579" s="684"/>
    </row>
    <row r="580" spans="1:9">
      <c r="A580" s="224"/>
      <c r="B580" s="224"/>
      <c r="C580" s="224"/>
      <c r="D580" s="224"/>
      <c r="E580" s="224"/>
      <c r="F580" s="622"/>
      <c r="G580" s="224"/>
      <c r="H580" s="224"/>
    </row>
    <row r="581" spans="1:9">
      <c r="A581" s="104" t="s">
        <v>343</v>
      </c>
      <c r="B581" s="104"/>
      <c r="C581" s="104"/>
      <c r="D581" s="104"/>
      <c r="E581" s="104"/>
      <c r="F581" s="104"/>
      <c r="G581" s="104"/>
      <c r="H581" s="105"/>
    </row>
    <row r="582" spans="1:9">
      <c r="A582" s="105"/>
      <c r="B582" s="224"/>
      <c r="C582" s="105"/>
      <c r="D582" s="105"/>
      <c r="E582" s="105"/>
      <c r="F582" s="105"/>
      <c r="G582" s="105"/>
      <c r="H582" s="105"/>
    </row>
    <row r="583" spans="1:9">
      <c r="A583" s="106" t="s">
        <v>344</v>
      </c>
      <c r="B583" s="106"/>
      <c r="C583" s="106"/>
      <c r="D583" s="105"/>
      <c r="E583" s="105"/>
      <c r="F583" s="105"/>
      <c r="G583" s="105"/>
      <c r="H583" s="105"/>
    </row>
    <row r="584" spans="1:9" ht="36.75">
      <c r="A584" s="58" t="s">
        <v>0</v>
      </c>
      <c r="B584" s="107" t="s">
        <v>38</v>
      </c>
      <c r="C584" s="107" t="s">
        <v>39</v>
      </c>
      <c r="D584" s="107" t="s">
        <v>212</v>
      </c>
      <c r="E584" s="107" t="s">
        <v>466</v>
      </c>
      <c r="F584" s="107" t="s">
        <v>777</v>
      </c>
      <c r="G584" s="108" t="s">
        <v>40</v>
      </c>
      <c r="H584" s="108" t="s">
        <v>492</v>
      </c>
      <c r="I584" s="108" t="s">
        <v>311</v>
      </c>
    </row>
    <row r="585" spans="1:9">
      <c r="A585" s="36">
        <v>1</v>
      </c>
      <c r="B585" s="92">
        <v>22100311</v>
      </c>
      <c r="C585" s="93" t="s">
        <v>345</v>
      </c>
      <c r="D585" s="94">
        <v>2000000</v>
      </c>
      <c r="E585" s="235">
        <v>0</v>
      </c>
      <c r="F585" s="235">
        <v>0</v>
      </c>
      <c r="G585" s="63">
        <v>0</v>
      </c>
      <c r="H585" s="101">
        <f>D585+G585</f>
        <v>2000000</v>
      </c>
      <c r="I585" s="37"/>
    </row>
    <row r="586" spans="1:9" ht="23.25">
      <c r="A586" s="36">
        <v>2</v>
      </c>
      <c r="B586" s="92">
        <v>22100592</v>
      </c>
      <c r="C586" s="93" t="s">
        <v>346</v>
      </c>
      <c r="D586" s="94">
        <v>9000000</v>
      </c>
      <c r="E586" s="235">
        <v>9000000</v>
      </c>
      <c r="F586" s="235">
        <v>0</v>
      </c>
      <c r="G586" s="63">
        <v>3000000</v>
      </c>
      <c r="H586" s="101">
        <f>D586+G586</f>
        <v>12000000</v>
      </c>
      <c r="I586" s="37" t="s">
        <v>310</v>
      </c>
    </row>
    <row r="587" spans="1:9" ht="23.25">
      <c r="A587" s="36">
        <v>3</v>
      </c>
      <c r="B587" s="92">
        <v>22100593</v>
      </c>
      <c r="C587" s="93" t="s">
        <v>347</v>
      </c>
      <c r="D587" s="235">
        <v>0</v>
      </c>
      <c r="E587" s="235">
        <v>0</v>
      </c>
      <c r="F587" s="235">
        <v>0</v>
      </c>
      <c r="G587" s="63">
        <v>0</v>
      </c>
      <c r="H587" s="101">
        <f>D587+G587</f>
        <v>0</v>
      </c>
      <c r="I587" s="37"/>
    </row>
    <row r="588" spans="1:9" ht="23.25">
      <c r="A588" s="36">
        <v>4</v>
      </c>
      <c r="B588" s="92">
        <v>22100594</v>
      </c>
      <c r="C588" s="93" t="s">
        <v>348</v>
      </c>
      <c r="D588" s="94">
        <v>11000000</v>
      </c>
      <c r="E588" s="235">
        <v>0</v>
      </c>
      <c r="F588" s="235">
        <v>0</v>
      </c>
      <c r="G588" s="63">
        <v>0</v>
      </c>
      <c r="H588" s="101">
        <f>D588+G588</f>
        <v>11000000</v>
      </c>
      <c r="I588" s="37"/>
    </row>
    <row r="589" spans="1:9">
      <c r="A589" s="36">
        <v>5</v>
      </c>
      <c r="B589" s="92">
        <v>22100665</v>
      </c>
      <c r="C589" s="511" t="s">
        <v>611</v>
      </c>
      <c r="D589" s="235">
        <v>0</v>
      </c>
      <c r="E589" s="235">
        <v>0</v>
      </c>
      <c r="F589" s="235">
        <v>0</v>
      </c>
      <c r="G589" s="63">
        <v>8000000</v>
      </c>
      <c r="H589" s="101">
        <f>D589+G589</f>
        <v>8000000</v>
      </c>
      <c r="I589" s="37"/>
    </row>
    <row r="590" spans="1:9">
      <c r="A590" s="36"/>
      <c r="B590" s="42"/>
      <c r="C590" s="46" t="s">
        <v>41</v>
      </c>
      <c r="D590" s="100">
        <f>SUM(D585:D589)</f>
        <v>22000000</v>
      </c>
      <c r="E590" s="237">
        <f>SUM(E585:E589)</f>
        <v>9000000</v>
      </c>
      <c r="F590" s="235">
        <v>0</v>
      </c>
      <c r="G590" s="99">
        <f>SUM(G585:G589)</f>
        <v>11000000</v>
      </c>
      <c r="H590" s="102">
        <f>SUM(H585:H589)</f>
        <v>33000000</v>
      </c>
      <c r="I590" s="37"/>
    </row>
    <row r="608" spans="1:9">
      <c r="A608" s="684" t="s">
        <v>659</v>
      </c>
      <c r="B608" s="684"/>
      <c r="C608" s="684"/>
      <c r="D608" s="684"/>
      <c r="E608" s="684"/>
      <c r="F608" s="684"/>
      <c r="G608" s="684"/>
      <c r="H608" s="684"/>
      <c r="I608" s="684"/>
    </row>
    <row r="609" spans="1:9">
      <c r="A609" s="684" t="s">
        <v>660</v>
      </c>
      <c r="B609" s="684"/>
      <c r="C609" s="684"/>
      <c r="D609" s="684"/>
      <c r="E609" s="684"/>
      <c r="F609" s="684"/>
      <c r="G609" s="684"/>
      <c r="H609" s="684"/>
      <c r="I609" s="684"/>
    </row>
    <row r="610" spans="1:9">
      <c r="A610" s="684" t="s">
        <v>37</v>
      </c>
      <c r="B610" s="684"/>
      <c r="C610" s="684"/>
      <c r="D610" s="684"/>
      <c r="E610" s="684"/>
      <c r="F610" s="684"/>
      <c r="G610" s="684"/>
      <c r="H610" s="684"/>
      <c r="I610" s="684"/>
    </row>
    <row r="611" spans="1:9">
      <c r="A611" s="517"/>
      <c r="B611" s="517"/>
      <c r="C611" s="517"/>
      <c r="D611" s="517"/>
      <c r="E611" s="517"/>
      <c r="F611" s="622"/>
      <c r="G611" s="517"/>
      <c r="H611" s="517"/>
    </row>
    <row r="612" spans="1:9">
      <c r="A612" s="104" t="s">
        <v>690</v>
      </c>
      <c r="B612" s="104"/>
      <c r="C612" s="104"/>
      <c r="D612" s="104"/>
      <c r="E612" s="104"/>
      <c r="F612" s="104"/>
      <c r="G612" s="104"/>
      <c r="H612" s="105"/>
    </row>
    <row r="613" spans="1:9">
      <c r="A613" s="105"/>
      <c r="B613" s="517"/>
      <c r="C613" s="105"/>
      <c r="D613" s="105"/>
      <c r="E613" s="105"/>
      <c r="F613" s="105"/>
      <c r="G613" s="105"/>
      <c r="H613" s="105"/>
    </row>
    <row r="614" spans="1:9">
      <c r="A614" s="106" t="s">
        <v>689</v>
      </c>
      <c r="B614" s="106"/>
      <c r="C614" s="106"/>
      <c r="D614" s="105"/>
      <c r="E614" s="105"/>
      <c r="F614" s="105"/>
      <c r="G614" s="105"/>
      <c r="H614" s="105"/>
    </row>
    <row r="615" spans="1:9" ht="36.75">
      <c r="A615" s="345" t="s">
        <v>0</v>
      </c>
      <c r="B615" s="107" t="s">
        <v>38</v>
      </c>
      <c r="C615" s="107" t="s">
        <v>39</v>
      </c>
      <c r="D615" s="107" t="s">
        <v>212</v>
      </c>
      <c r="E615" s="107" t="s">
        <v>466</v>
      </c>
      <c r="F615" s="107" t="s">
        <v>777</v>
      </c>
      <c r="G615" s="108" t="s">
        <v>40</v>
      </c>
      <c r="H615" s="108" t="s">
        <v>492</v>
      </c>
      <c r="I615" s="108" t="s">
        <v>311</v>
      </c>
    </row>
    <row r="616" spans="1:9">
      <c r="A616" s="36">
        <v>1</v>
      </c>
      <c r="B616" s="92">
        <v>22100262</v>
      </c>
      <c r="C616" s="93" t="s">
        <v>802</v>
      </c>
      <c r="D616" s="94">
        <v>5000000</v>
      </c>
      <c r="E616" s="235">
        <v>0</v>
      </c>
      <c r="F616" s="235">
        <v>0</v>
      </c>
      <c r="G616" s="63">
        <v>0</v>
      </c>
      <c r="H616" s="101">
        <f>D616-F616+G616</f>
        <v>5000000</v>
      </c>
      <c r="I616" s="37"/>
    </row>
    <row r="617" spans="1:9">
      <c r="A617" s="36">
        <v>2</v>
      </c>
      <c r="B617" s="92">
        <v>22100263</v>
      </c>
      <c r="C617" s="93" t="s">
        <v>691</v>
      </c>
      <c r="D617" s="94">
        <v>5000000</v>
      </c>
      <c r="E617" s="235">
        <v>0</v>
      </c>
      <c r="F617" s="235">
        <v>0</v>
      </c>
      <c r="G617" s="63">
        <v>0</v>
      </c>
      <c r="H617" s="101">
        <f t="shared" ref="H617:H620" si="14">D617-F617+G617</f>
        <v>5000000</v>
      </c>
      <c r="I617" s="114"/>
    </row>
    <row r="618" spans="1:9">
      <c r="A618" s="36">
        <v>3</v>
      </c>
      <c r="B618" s="92">
        <v>22100367</v>
      </c>
      <c r="C618" s="93" t="s">
        <v>324</v>
      </c>
      <c r="D618" s="94">
        <v>45000000</v>
      </c>
      <c r="E618" s="235">
        <v>18464000</v>
      </c>
      <c r="F618" s="235">
        <v>25000000</v>
      </c>
      <c r="G618" s="63">
        <v>0</v>
      </c>
      <c r="H618" s="101">
        <f t="shared" si="14"/>
        <v>20000000</v>
      </c>
      <c r="I618" s="114"/>
    </row>
    <row r="619" spans="1:9" ht="34.5">
      <c r="A619" s="36">
        <v>4</v>
      </c>
      <c r="B619" s="92">
        <v>22100596</v>
      </c>
      <c r="C619" s="93" t="s">
        <v>692</v>
      </c>
      <c r="D619" s="94">
        <v>10000000</v>
      </c>
      <c r="E619" s="235">
        <v>0</v>
      </c>
      <c r="F619" s="235">
        <v>0</v>
      </c>
      <c r="G619" s="63">
        <v>15000000</v>
      </c>
      <c r="H619" s="101">
        <f t="shared" si="14"/>
        <v>25000000</v>
      </c>
      <c r="I619" s="114" t="s">
        <v>310</v>
      </c>
    </row>
    <row r="620" spans="1:9">
      <c r="A620" s="36">
        <v>5</v>
      </c>
      <c r="B620" s="92">
        <v>22100597</v>
      </c>
      <c r="C620" s="93" t="s">
        <v>683</v>
      </c>
      <c r="D620" s="94">
        <v>35000000</v>
      </c>
      <c r="E620" s="235">
        <v>0</v>
      </c>
      <c r="F620" s="235">
        <v>15000000</v>
      </c>
      <c r="G620" s="63">
        <v>0</v>
      </c>
      <c r="H620" s="101">
        <f t="shared" si="14"/>
        <v>20000000</v>
      </c>
      <c r="I620" s="37"/>
    </row>
    <row r="621" spans="1:9">
      <c r="A621" s="36"/>
      <c r="B621" s="42"/>
      <c r="C621" s="46" t="s">
        <v>41</v>
      </c>
      <c r="D621" s="100">
        <f>SUM(D616:D620)</f>
        <v>100000000</v>
      </c>
      <c r="E621" s="237">
        <f>SUM(E616:E620)</f>
        <v>18464000</v>
      </c>
      <c r="F621" s="669">
        <f>SUM(F616:F620)</f>
        <v>40000000</v>
      </c>
      <c r="G621" s="99">
        <f>SUM(G616:G620)</f>
        <v>15000000</v>
      </c>
      <c r="H621" s="102">
        <f>SUM(H616:H620)</f>
        <v>75000000</v>
      </c>
      <c r="I621" s="37"/>
    </row>
    <row r="639" spans="1:9">
      <c r="A639" s="684" t="s">
        <v>659</v>
      </c>
      <c r="B639" s="684"/>
      <c r="C639" s="684"/>
      <c r="D639" s="684"/>
      <c r="E639" s="684"/>
      <c r="F639" s="684"/>
      <c r="G639" s="684"/>
      <c r="H639" s="684"/>
      <c r="I639" s="684"/>
    </row>
    <row r="640" spans="1:9">
      <c r="A640" s="684" t="s">
        <v>660</v>
      </c>
      <c r="B640" s="684"/>
      <c r="C640" s="684"/>
      <c r="D640" s="684"/>
      <c r="E640" s="684"/>
      <c r="F640" s="684"/>
      <c r="G640" s="684"/>
      <c r="H640" s="684"/>
      <c r="I640" s="684"/>
    </row>
    <row r="641" spans="1:9">
      <c r="A641" s="684" t="s">
        <v>37</v>
      </c>
      <c r="B641" s="684"/>
      <c r="C641" s="684"/>
      <c r="D641" s="684"/>
      <c r="E641" s="684"/>
      <c r="F641" s="684"/>
      <c r="G641" s="684"/>
      <c r="H641" s="684"/>
      <c r="I641" s="684"/>
    </row>
    <row r="642" spans="1:9">
      <c r="A642" s="240"/>
      <c r="B642" s="240"/>
      <c r="C642" s="240"/>
      <c r="D642" s="240"/>
      <c r="E642" s="240"/>
      <c r="F642" s="622"/>
      <c r="G642" s="240"/>
      <c r="H642" s="240"/>
    </row>
    <row r="643" spans="1:9">
      <c r="A643" s="104" t="s">
        <v>485</v>
      </c>
      <c r="B643" s="104"/>
      <c r="C643" s="104"/>
      <c r="D643" s="104"/>
      <c r="E643" s="104"/>
      <c r="F643" s="104"/>
      <c r="G643" s="104"/>
      <c r="H643" s="105"/>
    </row>
    <row r="644" spans="1:9">
      <c r="A644" s="105"/>
      <c r="B644" s="240"/>
      <c r="C644" s="105"/>
      <c r="D644" s="105"/>
      <c r="E644" s="105"/>
      <c r="F644" s="105"/>
      <c r="G644" s="105"/>
      <c r="H644" s="105"/>
    </row>
    <row r="645" spans="1:9">
      <c r="A645" s="106" t="s">
        <v>486</v>
      </c>
      <c r="B645" s="106"/>
      <c r="C645" s="106"/>
      <c r="D645" s="105"/>
      <c r="E645" s="105"/>
      <c r="F645" s="105"/>
      <c r="G645" s="105"/>
      <c r="H645" s="105"/>
    </row>
    <row r="646" spans="1:9" ht="26.25" customHeight="1">
      <c r="A646" s="58" t="s">
        <v>0</v>
      </c>
      <c r="B646" s="107" t="s">
        <v>38</v>
      </c>
      <c r="C646" s="107" t="s">
        <v>39</v>
      </c>
      <c r="D646" s="107" t="s">
        <v>212</v>
      </c>
      <c r="E646" s="107" t="s">
        <v>466</v>
      </c>
      <c r="F646" s="107" t="s">
        <v>777</v>
      </c>
      <c r="G646" s="108" t="s">
        <v>40</v>
      </c>
      <c r="H646" s="108" t="s">
        <v>492</v>
      </c>
      <c r="I646" s="108" t="s">
        <v>311</v>
      </c>
    </row>
    <row r="647" spans="1:9">
      <c r="A647" s="36">
        <v>1</v>
      </c>
      <c r="B647" s="92">
        <v>22100271</v>
      </c>
      <c r="C647" s="93" t="s">
        <v>464</v>
      </c>
      <c r="D647" s="94">
        <v>2000000</v>
      </c>
      <c r="E647" s="235">
        <v>0</v>
      </c>
      <c r="F647" s="235">
        <v>0</v>
      </c>
      <c r="G647" s="43">
        <v>0</v>
      </c>
      <c r="H647" s="41">
        <f t="shared" ref="H647:H659" si="15">D647+G647</f>
        <v>2000000</v>
      </c>
      <c r="I647" s="37"/>
    </row>
    <row r="648" spans="1:9">
      <c r="A648" s="36">
        <v>2</v>
      </c>
      <c r="B648" s="92">
        <v>22100605</v>
      </c>
      <c r="C648" s="93" t="s">
        <v>421</v>
      </c>
      <c r="D648" s="94">
        <v>2000000</v>
      </c>
      <c r="E648" s="235">
        <v>0</v>
      </c>
      <c r="F648" s="235">
        <v>0</v>
      </c>
      <c r="G648" s="43">
        <v>0</v>
      </c>
      <c r="H648" s="41">
        <f t="shared" si="15"/>
        <v>2000000</v>
      </c>
      <c r="I648" s="37"/>
    </row>
    <row r="649" spans="1:9">
      <c r="A649" s="36">
        <v>3</v>
      </c>
      <c r="B649" s="92">
        <v>22100606</v>
      </c>
      <c r="C649" s="93" t="s">
        <v>422</v>
      </c>
      <c r="D649" s="94">
        <v>2000000</v>
      </c>
      <c r="E649" s="235">
        <v>0</v>
      </c>
      <c r="F649" s="235">
        <v>0</v>
      </c>
      <c r="G649" s="43">
        <v>0</v>
      </c>
      <c r="H649" s="41">
        <f t="shared" si="15"/>
        <v>2000000</v>
      </c>
      <c r="I649" s="37"/>
    </row>
    <row r="650" spans="1:9">
      <c r="A650" s="36">
        <v>4</v>
      </c>
      <c r="B650" s="92">
        <v>22100607</v>
      </c>
      <c r="C650" s="93" t="s">
        <v>423</v>
      </c>
      <c r="D650" s="94">
        <v>3000000</v>
      </c>
      <c r="E650" s="235">
        <v>0</v>
      </c>
      <c r="F650" s="235">
        <v>0</v>
      </c>
      <c r="G650" s="43">
        <v>0</v>
      </c>
      <c r="H650" s="41">
        <f t="shared" si="15"/>
        <v>3000000</v>
      </c>
      <c r="I650" s="37"/>
    </row>
    <row r="651" spans="1:9">
      <c r="A651" s="36">
        <v>5</v>
      </c>
      <c r="B651" s="92">
        <v>22100608</v>
      </c>
      <c r="C651" s="93" t="s">
        <v>424</v>
      </c>
      <c r="D651" s="94">
        <v>2000000</v>
      </c>
      <c r="E651" s="235">
        <v>0</v>
      </c>
      <c r="F651" s="235">
        <v>0</v>
      </c>
      <c r="G651" s="43">
        <v>0</v>
      </c>
      <c r="H651" s="41">
        <f t="shared" si="15"/>
        <v>2000000</v>
      </c>
      <c r="I651" s="37"/>
    </row>
    <row r="652" spans="1:9">
      <c r="A652" s="36">
        <v>6</v>
      </c>
      <c r="B652" s="92">
        <v>22100609</v>
      </c>
      <c r="C652" s="93" t="s">
        <v>425</v>
      </c>
      <c r="D652" s="94">
        <v>2000000</v>
      </c>
      <c r="E652" s="235">
        <v>0</v>
      </c>
      <c r="F652" s="235">
        <v>0</v>
      </c>
      <c r="G652" s="43">
        <v>0</v>
      </c>
      <c r="H652" s="41">
        <f t="shared" si="15"/>
        <v>2000000</v>
      </c>
      <c r="I652" s="37"/>
    </row>
    <row r="653" spans="1:9">
      <c r="A653" s="36">
        <v>7</v>
      </c>
      <c r="B653" s="92">
        <v>22100610</v>
      </c>
      <c r="C653" s="93" t="s">
        <v>426</v>
      </c>
      <c r="D653" s="94">
        <v>100000</v>
      </c>
      <c r="E653" s="235">
        <v>0</v>
      </c>
      <c r="F653" s="235">
        <v>0</v>
      </c>
      <c r="G653" s="43">
        <v>0</v>
      </c>
      <c r="H653" s="41">
        <f t="shared" si="15"/>
        <v>100000</v>
      </c>
      <c r="I653" s="37"/>
    </row>
    <row r="654" spans="1:9">
      <c r="A654" s="36">
        <v>8</v>
      </c>
      <c r="B654" s="92">
        <v>22100611</v>
      </c>
      <c r="C654" s="93" t="s">
        <v>427</v>
      </c>
      <c r="D654" s="94">
        <v>2000000</v>
      </c>
      <c r="E654" s="241">
        <v>1700000</v>
      </c>
      <c r="F654" s="235">
        <v>0</v>
      </c>
      <c r="G654" s="43">
        <v>1000000</v>
      </c>
      <c r="H654" s="41">
        <f t="shared" si="15"/>
        <v>3000000</v>
      </c>
      <c r="I654" s="37" t="s">
        <v>310</v>
      </c>
    </row>
    <row r="655" spans="1:9">
      <c r="A655" s="36">
        <v>9</v>
      </c>
      <c r="B655" s="92">
        <v>22100612</v>
      </c>
      <c r="C655" s="93" t="s">
        <v>428</v>
      </c>
      <c r="D655" s="94">
        <v>2000000</v>
      </c>
      <c r="E655" s="235">
        <v>0</v>
      </c>
      <c r="F655" s="235">
        <v>0</v>
      </c>
      <c r="G655" s="43">
        <v>0</v>
      </c>
      <c r="H655" s="41">
        <f t="shared" si="15"/>
        <v>2000000</v>
      </c>
      <c r="I655" s="37"/>
    </row>
    <row r="656" spans="1:9" ht="23.25">
      <c r="A656" s="36">
        <v>10</v>
      </c>
      <c r="B656" s="92">
        <v>22100613</v>
      </c>
      <c r="C656" s="93" t="s">
        <v>429</v>
      </c>
      <c r="D656" s="94">
        <v>2000000</v>
      </c>
      <c r="E656" s="235">
        <v>0</v>
      </c>
      <c r="F656" s="235">
        <v>0</v>
      </c>
      <c r="G656" s="43">
        <v>0</v>
      </c>
      <c r="H656" s="41">
        <f t="shared" si="15"/>
        <v>2000000</v>
      </c>
      <c r="I656" s="37"/>
    </row>
    <row r="657" spans="1:9">
      <c r="A657" s="36">
        <v>11</v>
      </c>
      <c r="B657" s="92">
        <v>22100614</v>
      </c>
      <c r="C657" s="93" t="s">
        <v>430</v>
      </c>
      <c r="D657" s="94">
        <v>2900000</v>
      </c>
      <c r="E657" s="235">
        <v>0</v>
      </c>
      <c r="F657" s="235">
        <v>0</v>
      </c>
      <c r="G657" s="43">
        <v>20000000</v>
      </c>
      <c r="H657" s="41">
        <f t="shared" si="15"/>
        <v>22900000</v>
      </c>
      <c r="I657" s="37" t="s">
        <v>310</v>
      </c>
    </row>
    <row r="658" spans="1:9">
      <c r="A658" s="36">
        <v>12</v>
      </c>
      <c r="B658" s="92">
        <v>22100615</v>
      </c>
      <c r="C658" s="93" t="s">
        <v>431</v>
      </c>
      <c r="D658" s="94">
        <v>2000000</v>
      </c>
      <c r="E658" s="241">
        <v>590000</v>
      </c>
      <c r="F658" s="235">
        <v>0</v>
      </c>
      <c r="G658" s="43">
        <v>58000000</v>
      </c>
      <c r="H658" s="41">
        <f t="shared" si="15"/>
        <v>60000000</v>
      </c>
      <c r="I658" s="37" t="s">
        <v>310</v>
      </c>
    </row>
    <row r="659" spans="1:9" ht="23.25">
      <c r="A659" s="36">
        <v>13</v>
      </c>
      <c r="B659" s="92">
        <v>22100616</v>
      </c>
      <c r="C659" s="93" t="s">
        <v>432</v>
      </c>
      <c r="D659" s="94">
        <v>1000000</v>
      </c>
      <c r="E659" s="235">
        <v>0</v>
      </c>
      <c r="F659" s="235">
        <v>0</v>
      </c>
      <c r="G659" s="43">
        <v>0</v>
      </c>
      <c r="H659" s="41">
        <f t="shared" si="15"/>
        <v>1000000</v>
      </c>
      <c r="I659" s="37"/>
    </row>
    <row r="660" spans="1:9" ht="23.25">
      <c r="A660" s="56">
        <v>14</v>
      </c>
      <c r="B660" s="92">
        <v>22100617</v>
      </c>
      <c r="C660" s="93" t="s">
        <v>433</v>
      </c>
      <c r="D660" s="94">
        <v>1000000</v>
      </c>
      <c r="E660" s="235">
        <v>0</v>
      </c>
      <c r="F660" s="235">
        <v>0</v>
      </c>
      <c r="G660" s="43">
        <v>0</v>
      </c>
      <c r="H660" s="41">
        <f t="shared" ref="H660:H665" si="16">D660+G660</f>
        <v>1000000</v>
      </c>
      <c r="I660" s="37"/>
    </row>
    <row r="661" spans="1:9">
      <c r="A661" s="36">
        <v>15</v>
      </c>
      <c r="B661" s="92">
        <v>22100618</v>
      </c>
      <c r="C661" s="93" t="s">
        <v>434</v>
      </c>
      <c r="D661" s="94">
        <v>1000000</v>
      </c>
      <c r="E661" s="235">
        <v>0</v>
      </c>
      <c r="F661" s="235">
        <v>0</v>
      </c>
      <c r="G661" s="43">
        <v>0</v>
      </c>
      <c r="H661" s="41">
        <f t="shared" si="16"/>
        <v>1000000</v>
      </c>
      <c r="I661" s="37"/>
    </row>
    <row r="662" spans="1:9">
      <c r="A662" s="56">
        <v>16</v>
      </c>
      <c r="B662" s="92">
        <v>22100619</v>
      </c>
      <c r="C662" s="93" t="s">
        <v>435</v>
      </c>
      <c r="D662" s="94">
        <v>20000000</v>
      </c>
      <c r="E662" s="235">
        <v>0</v>
      </c>
      <c r="F662" s="235">
        <v>0</v>
      </c>
      <c r="G662" s="43">
        <v>0</v>
      </c>
      <c r="H662" s="41">
        <f t="shared" si="16"/>
        <v>20000000</v>
      </c>
      <c r="I662" s="37"/>
    </row>
    <row r="663" spans="1:9" ht="23.25">
      <c r="A663" s="36">
        <v>17</v>
      </c>
      <c r="B663" s="92">
        <v>22100620</v>
      </c>
      <c r="C663" s="93" t="s">
        <v>436</v>
      </c>
      <c r="D663" s="94">
        <v>2000000</v>
      </c>
      <c r="E663" s="235">
        <v>0</v>
      </c>
      <c r="F663" s="235">
        <v>0</v>
      </c>
      <c r="G663" s="43">
        <v>0</v>
      </c>
      <c r="H663" s="41">
        <f t="shared" si="16"/>
        <v>2000000</v>
      </c>
      <c r="I663" s="37"/>
    </row>
    <row r="664" spans="1:9">
      <c r="A664" s="36">
        <v>18</v>
      </c>
      <c r="B664" s="92">
        <v>22100621</v>
      </c>
      <c r="C664" s="93" t="s">
        <v>437</v>
      </c>
      <c r="D664" s="94">
        <v>1000000</v>
      </c>
      <c r="E664" s="235">
        <v>0</v>
      </c>
      <c r="F664" s="235">
        <v>0</v>
      </c>
      <c r="G664" s="43">
        <v>0</v>
      </c>
      <c r="H664" s="41">
        <f t="shared" si="16"/>
        <v>1000000</v>
      </c>
      <c r="I664" s="37"/>
    </row>
    <row r="665" spans="1:9">
      <c r="A665" s="36">
        <v>19</v>
      </c>
      <c r="B665" s="264">
        <v>22100664</v>
      </c>
      <c r="C665" s="512" t="s">
        <v>491</v>
      </c>
      <c r="D665" s="267">
        <v>0</v>
      </c>
      <c r="E665" s="267">
        <v>0</v>
      </c>
      <c r="F665" s="235">
        <v>0</v>
      </c>
      <c r="G665" s="265">
        <v>10000000</v>
      </c>
      <c r="H665" s="266">
        <f t="shared" si="16"/>
        <v>10000000</v>
      </c>
      <c r="I665" s="37" t="s">
        <v>310</v>
      </c>
    </row>
    <row r="666" spans="1:9">
      <c r="A666" s="37"/>
      <c r="B666" s="44"/>
      <c r="C666" s="262" t="s">
        <v>41</v>
      </c>
      <c r="D666" s="261">
        <f>SUM(D647:D665)</f>
        <v>50000000</v>
      </c>
      <c r="E666" s="261">
        <f>SUM(E647:E665)</f>
        <v>2290000</v>
      </c>
      <c r="F666" s="235">
        <v>0</v>
      </c>
      <c r="G666" s="261">
        <f>SUM(G647:G665)</f>
        <v>89000000</v>
      </c>
      <c r="H666" s="261">
        <f>SUM(H647:H665)</f>
        <v>139000000</v>
      </c>
      <c r="I666" s="37"/>
    </row>
    <row r="670" spans="1:9">
      <c r="A670" s="684" t="s">
        <v>659</v>
      </c>
      <c r="B670" s="684"/>
      <c r="C670" s="684"/>
      <c r="D670" s="684"/>
      <c r="E670" s="684"/>
      <c r="F670" s="684"/>
      <c r="G670" s="684"/>
      <c r="H670" s="684"/>
      <c r="I670" s="684"/>
    </row>
    <row r="671" spans="1:9">
      <c r="A671" s="684" t="s">
        <v>660</v>
      </c>
      <c r="B671" s="684"/>
      <c r="C671" s="684"/>
      <c r="D671" s="684"/>
      <c r="E671" s="684"/>
      <c r="F671" s="684"/>
      <c r="G671" s="684"/>
      <c r="H671" s="684"/>
      <c r="I671" s="684"/>
    </row>
    <row r="672" spans="1:9">
      <c r="A672" s="684" t="s">
        <v>37</v>
      </c>
      <c r="B672" s="684"/>
      <c r="C672" s="684"/>
      <c r="D672" s="684"/>
      <c r="E672" s="684"/>
      <c r="F672" s="684"/>
      <c r="G672" s="684"/>
      <c r="H672" s="684"/>
      <c r="I672" s="684"/>
    </row>
    <row r="673" spans="1:9">
      <c r="A673" s="240"/>
      <c r="B673" s="240"/>
      <c r="C673" s="240"/>
      <c r="D673" s="240"/>
      <c r="E673" s="240"/>
      <c r="F673" s="622"/>
      <c r="G673" s="240"/>
      <c r="H673" s="240"/>
    </row>
    <row r="674" spans="1:9">
      <c r="A674" s="119" t="s">
        <v>775</v>
      </c>
      <c r="B674" s="104"/>
      <c r="C674" s="104"/>
      <c r="D674" s="104"/>
      <c r="E674" s="104"/>
      <c r="F674" s="104"/>
      <c r="G674" s="104"/>
      <c r="H674" s="105"/>
    </row>
    <row r="675" spans="1:9">
      <c r="A675" s="105"/>
      <c r="B675" s="240"/>
      <c r="C675" s="105"/>
      <c r="D675" s="105"/>
      <c r="E675" s="105"/>
      <c r="F675" s="105"/>
      <c r="G675" s="105"/>
      <c r="H675" s="105"/>
    </row>
    <row r="676" spans="1:9">
      <c r="A676" s="106" t="s">
        <v>783</v>
      </c>
      <c r="B676" s="106"/>
      <c r="C676" s="106"/>
      <c r="D676" s="105"/>
      <c r="E676" s="105"/>
      <c r="F676" s="105"/>
      <c r="G676" s="105"/>
      <c r="H676" s="105"/>
    </row>
    <row r="677" spans="1:9" ht="27.75" customHeight="1">
      <c r="A677" s="58" t="s">
        <v>0</v>
      </c>
      <c r="B677" s="107" t="s">
        <v>38</v>
      </c>
      <c r="C677" s="107" t="s">
        <v>39</v>
      </c>
      <c r="D677" s="107" t="s">
        <v>212</v>
      </c>
      <c r="E677" s="107" t="s">
        <v>466</v>
      </c>
      <c r="F677" s="107" t="s">
        <v>777</v>
      </c>
      <c r="G677" s="108" t="s">
        <v>40</v>
      </c>
      <c r="H677" s="108" t="s">
        <v>492</v>
      </c>
      <c r="I677" s="108" t="s">
        <v>311</v>
      </c>
    </row>
    <row r="678" spans="1:9">
      <c r="A678" s="36">
        <v>1</v>
      </c>
      <c r="B678" s="91">
        <v>22100632</v>
      </c>
      <c r="C678" s="91" t="s">
        <v>447</v>
      </c>
      <c r="D678" s="94">
        <v>1400000</v>
      </c>
      <c r="E678" s="95">
        <v>980000</v>
      </c>
      <c r="F678" s="96">
        <v>0</v>
      </c>
      <c r="G678" s="43">
        <v>8000000</v>
      </c>
      <c r="H678" s="41">
        <f>D678+G678</f>
        <v>9400000</v>
      </c>
      <c r="I678" s="37" t="s">
        <v>310</v>
      </c>
    </row>
    <row r="679" spans="1:9">
      <c r="A679" s="37"/>
      <c r="B679" s="34"/>
      <c r="C679" s="110" t="s">
        <v>41</v>
      </c>
      <c r="D679" s="102">
        <f>SUM(D678:D678)</f>
        <v>1400000</v>
      </c>
      <c r="E679" s="102">
        <f>SUM(E678:E678)</f>
        <v>980000</v>
      </c>
      <c r="F679" s="102">
        <v>0</v>
      </c>
      <c r="G679" s="102">
        <f>SUM(G678:G678)</f>
        <v>8000000</v>
      </c>
      <c r="H679" s="102">
        <f>SUM(H678:H678)</f>
        <v>9400000</v>
      </c>
      <c r="I679" s="37"/>
    </row>
    <row r="703" spans="1:9">
      <c r="A703" s="684" t="s">
        <v>659</v>
      </c>
      <c r="B703" s="684"/>
      <c r="C703" s="684"/>
      <c r="D703" s="684"/>
      <c r="E703" s="684"/>
      <c r="F703" s="684"/>
      <c r="G703" s="684"/>
      <c r="H703" s="684"/>
      <c r="I703" s="684"/>
    </row>
    <row r="704" spans="1:9">
      <c r="A704" s="684" t="s">
        <v>660</v>
      </c>
      <c r="B704" s="684"/>
      <c r="C704" s="684"/>
      <c r="D704" s="684"/>
      <c r="E704" s="684"/>
      <c r="F704" s="684"/>
      <c r="G704" s="684"/>
      <c r="H704" s="684"/>
      <c r="I704" s="684"/>
    </row>
    <row r="705" spans="1:9">
      <c r="A705" s="684"/>
      <c r="B705" s="684"/>
      <c r="C705" s="684"/>
      <c r="D705" s="684"/>
      <c r="E705" s="684"/>
      <c r="F705" s="684"/>
      <c r="G705" s="684"/>
      <c r="H705" s="684"/>
    </row>
    <row r="706" spans="1:9">
      <c r="A706" s="103"/>
      <c r="B706" s="103"/>
      <c r="C706" s="103"/>
      <c r="D706" s="103"/>
      <c r="E706" s="103"/>
      <c r="F706" s="622"/>
      <c r="G706" s="103"/>
      <c r="H706" s="103"/>
    </row>
    <row r="707" spans="1:9">
      <c r="A707" s="687" t="s">
        <v>149</v>
      </c>
      <c r="B707" s="687"/>
      <c r="C707" s="687"/>
      <c r="D707" s="687"/>
      <c r="E707" s="687"/>
      <c r="F707" s="687"/>
      <c r="G707" s="687"/>
      <c r="H707" s="687"/>
      <c r="I707" s="112"/>
    </row>
    <row r="708" spans="1:9" ht="27.75" customHeight="1">
      <c r="A708" s="58" t="s">
        <v>0</v>
      </c>
      <c r="B708" s="107" t="s">
        <v>38</v>
      </c>
      <c r="C708" s="107" t="s">
        <v>39</v>
      </c>
      <c r="D708" s="107" t="s">
        <v>212</v>
      </c>
      <c r="E708" s="107" t="s">
        <v>466</v>
      </c>
      <c r="F708" s="107" t="s">
        <v>777</v>
      </c>
      <c r="G708" s="108" t="s">
        <v>40</v>
      </c>
      <c r="H708" s="108" t="s">
        <v>492</v>
      </c>
      <c r="I708" s="108" t="s">
        <v>311</v>
      </c>
    </row>
    <row r="709" spans="1:9" ht="23.25">
      <c r="A709" s="177" t="s">
        <v>174</v>
      </c>
      <c r="B709" s="181">
        <v>21010103</v>
      </c>
      <c r="C709" s="182" t="s">
        <v>559</v>
      </c>
      <c r="D709" s="183">
        <v>1659179109</v>
      </c>
      <c r="E709" s="363">
        <v>505176610.55000001</v>
      </c>
      <c r="F709" s="235">
        <f t="shared" ref="F709:F710" si="17">D709-H709</f>
        <v>800000000</v>
      </c>
      <c r="G709" s="60">
        <v>0</v>
      </c>
      <c r="H709" s="353">
        <f>D709-800000000</f>
        <v>859179109</v>
      </c>
      <c r="I709" s="378" t="s">
        <v>592</v>
      </c>
    </row>
    <row r="710" spans="1:9">
      <c r="A710" s="177" t="s">
        <v>175</v>
      </c>
      <c r="B710" s="181">
        <v>21020202</v>
      </c>
      <c r="C710" s="182" t="s">
        <v>560</v>
      </c>
      <c r="D710" s="183">
        <v>602194593.94000006</v>
      </c>
      <c r="E710" s="60">
        <v>0</v>
      </c>
      <c r="F710" s="235">
        <f t="shared" si="17"/>
        <v>500000000.00000006</v>
      </c>
      <c r="G710" s="60">
        <v>0</v>
      </c>
      <c r="H710" s="369">
        <v>102194593.94</v>
      </c>
      <c r="I710" s="91" t="s">
        <v>592</v>
      </c>
    </row>
    <row r="711" spans="1:9">
      <c r="A711" s="177" t="s">
        <v>176</v>
      </c>
      <c r="B711" s="181">
        <v>21030101</v>
      </c>
      <c r="C711" s="182" t="s">
        <v>312</v>
      </c>
      <c r="D711" s="183">
        <v>1500000000</v>
      </c>
      <c r="E711" s="363">
        <v>738828788.25999999</v>
      </c>
      <c r="F711" s="235">
        <v>0</v>
      </c>
      <c r="G711" s="340">
        <v>1300000000</v>
      </c>
      <c r="H711" s="183">
        <f>D711+G711</f>
        <v>2800000000</v>
      </c>
      <c r="I711" s="378" t="s">
        <v>310</v>
      </c>
    </row>
    <row r="712" spans="1:9">
      <c r="A712" s="177" t="s">
        <v>23</v>
      </c>
      <c r="B712" s="181">
        <v>21030102</v>
      </c>
      <c r="C712" s="182" t="s">
        <v>313</v>
      </c>
      <c r="D712" s="183">
        <v>3208734577</v>
      </c>
      <c r="E712" s="340">
        <v>3040459939.23</v>
      </c>
      <c r="F712" s="235">
        <v>0</v>
      </c>
      <c r="G712" s="60">
        <v>5765669000</v>
      </c>
      <c r="H712" s="183">
        <f>D712+G712</f>
        <v>8974403577</v>
      </c>
      <c r="I712" s="378" t="s">
        <v>310</v>
      </c>
    </row>
    <row r="713" spans="1:9" ht="23.25">
      <c r="A713" s="177" t="s">
        <v>177</v>
      </c>
      <c r="B713" s="181">
        <v>21030104</v>
      </c>
      <c r="C713" s="182" t="s">
        <v>314</v>
      </c>
      <c r="D713" s="183">
        <v>25000000</v>
      </c>
      <c r="E713" s="60">
        <v>0</v>
      </c>
      <c r="F713" s="235">
        <v>0</v>
      </c>
      <c r="G713" s="60">
        <v>0</v>
      </c>
      <c r="H713" s="183">
        <f>D713+G713</f>
        <v>25000000</v>
      </c>
      <c r="I713" s="178"/>
    </row>
    <row r="714" spans="1:9" ht="23.25">
      <c r="A714" s="177" t="s">
        <v>24</v>
      </c>
      <c r="B714" s="181">
        <v>22020908</v>
      </c>
      <c r="C714" s="182" t="s">
        <v>315</v>
      </c>
      <c r="D714" s="183">
        <v>5504891720.0600004</v>
      </c>
      <c r="E714" s="363">
        <v>2625000</v>
      </c>
      <c r="F714" s="235">
        <v>0</v>
      </c>
      <c r="G714" s="60">
        <v>0</v>
      </c>
      <c r="H714" s="183">
        <f>D714+G714</f>
        <v>5504891720.0600004</v>
      </c>
      <c r="I714" s="178"/>
    </row>
    <row r="715" spans="1:9">
      <c r="A715" s="685"/>
      <c r="B715" s="688"/>
      <c r="C715" s="179" t="s">
        <v>41</v>
      </c>
      <c r="D715" s="339">
        <f>SUM(D709:D714)</f>
        <v>12500000000</v>
      </c>
      <c r="E715" s="379">
        <f>SUM(E709:E714)</f>
        <v>4287090338.04</v>
      </c>
      <c r="F715" s="235">
        <v>0</v>
      </c>
      <c r="G715" s="180">
        <f>SUM(G709:G714)</f>
        <v>7065669000</v>
      </c>
      <c r="H715" s="180">
        <f>SUM(H709:H714)</f>
        <v>18265669000</v>
      </c>
      <c r="I715" s="114"/>
    </row>
    <row r="735" spans="1:9">
      <c r="A735" s="684" t="s">
        <v>659</v>
      </c>
      <c r="B735" s="684"/>
      <c r="C735" s="684"/>
      <c r="D735" s="684"/>
      <c r="E735" s="684"/>
      <c r="F735" s="684"/>
      <c r="G735" s="684"/>
      <c r="H735" s="684"/>
      <c r="I735" s="684"/>
    </row>
    <row r="736" spans="1:9">
      <c r="A736" s="684" t="s">
        <v>660</v>
      </c>
      <c r="B736" s="684"/>
      <c r="C736" s="684"/>
      <c r="D736" s="684"/>
      <c r="E736" s="684"/>
      <c r="F736" s="684"/>
      <c r="G736" s="684"/>
      <c r="H736" s="684"/>
      <c r="I736" s="684"/>
    </row>
    <row r="737" spans="1:9">
      <c r="A737" s="684"/>
      <c r="B737" s="684"/>
      <c r="C737" s="684"/>
      <c r="D737" s="684"/>
      <c r="E737" s="684"/>
      <c r="F737" s="684"/>
      <c r="G737" s="684"/>
      <c r="H737" s="684"/>
    </row>
    <row r="738" spans="1:9">
      <c r="A738" s="176"/>
      <c r="B738" s="176"/>
      <c r="C738" s="176"/>
      <c r="D738" s="176"/>
      <c r="E738" s="176"/>
      <c r="F738" s="622"/>
      <c r="G738" s="176"/>
      <c r="H738" s="176"/>
    </row>
    <row r="739" spans="1:9">
      <c r="A739" s="687" t="s">
        <v>341</v>
      </c>
      <c r="B739" s="687"/>
      <c r="C739" s="687"/>
      <c r="D739" s="687"/>
      <c r="E739" s="687"/>
      <c r="F739" s="687"/>
      <c r="G739" s="687"/>
      <c r="H739" s="687"/>
      <c r="I739" s="112"/>
    </row>
    <row r="740" spans="1:9" ht="26.25" customHeight="1">
      <c r="A740" s="58" t="s">
        <v>0</v>
      </c>
      <c r="B740" s="107" t="s">
        <v>38</v>
      </c>
      <c r="C740" s="107" t="s">
        <v>39</v>
      </c>
      <c r="D740" s="107" t="s">
        <v>212</v>
      </c>
      <c r="E740" s="107" t="s">
        <v>466</v>
      </c>
      <c r="F740" s="107" t="s">
        <v>777</v>
      </c>
      <c r="G740" s="108" t="s">
        <v>40</v>
      </c>
      <c r="H740" s="108" t="s">
        <v>492</v>
      </c>
      <c r="I740" s="108" t="s">
        <v>311</v>
      </c>
    </row>
    <row r="741" spans="1:9" ht="24">
      <c r="A741" s="177" t="s">
        <v>174</v>
      </c>
      <c r="B741" s="225">
        <v>11101200100</v>
      </c>
      <c r="C741" s="227" t="s">
        <v>329</v>
      </c>
      <c r="D741" s="228">
        <v>200000000</v>
      </c>
      <c r="E741" s="226">
        <v>0</v>
      </c>
      <c r="F741" s="226">
        <v>0</v>
      </c>
      <c r="G741" s="60">
        <v>0</v>
      </c>
      <c r="H741" s="183">
        <f>D741+G741</f>
        <v>200000000</v>
      </c>
      <c r="I741" s="178"/>
    </row>
    <row r="742" spans="1:9">
      <c r="A742" s="177" t="s">
        <v>175</v>
      </c>
      <c r="B742" s="225">
        <v>12300300100</v>
      </c>
      <c r="C742" s="227" t="s">
        <v>57</v>
      </c>
      <c r="D742" s="228">
        <v>50000000</v>
      </c>
      <c r="E742" s="226">
        <v>0</v>
      </c>
      <c r="F742" s="226">
        <v>0</v>
      </c>
      <c r="G742" s="60">
        <v>0</v>
      </c>
      <c r="H742" s="183">
        <f t="shared" ref="H742:H755" si="18">D742+G742</f>
        <v>50000000</v>
      </c>
      <c r="I742" s="178"/>
    </row>
    <row r="743" spans="1:9" ht="24">
      <c r="A743" s="177" t="s">
        <v>176</v>
      </c>
      <c r="B743" s="225">
        <v>12400400100</v>
      </c>
      <c r="C743" s="227" t="s">
        <v>335</v>
      </c>
      <c r="D743" s="228">
        <v>2000000</v>
      </c>
      <c r="E743" s="226">
        <v>0</v>
      </c>
      <c r="F743" s="226">
        <v>0</v>
      </c>
      <c r="G743" s="60">
        <v>0</v>
      </c>
      <c r="H743" s="183">
        <f t="shared" si="18"/>
        <v>2000000</v>
      </c>
      <c r="I743" s="178"/>
    </row>
    <row r="744" spans="1:9">
      <c r="A744" s="177" t="s">
        <v>23</v>
      </c>
      <c r="B744" s="225">
        <v>12400400200</v>
      </c>
      <c r="C744" s="227" t="s">
        <v>336</v>
      </c>
      <c r="D744" s="228">
        <v>4000000</v>
      </c>
      <c r="E744" s="226">
        <v>0</v>
      </c>
      <c r="F744" s="226">
        <v>0</v>
      </c>
      <c r="G744" s="60">
        <v>0</v>
      </c>
      <c r="H744" s="183">
        <f t="shared" si="18"/>
        <v>4000000</v>
      </c>
      <c r="I744" s="178"/>
    </row>
    <row r="745" spans="1:9">
      <c r="A745" s="177" t="s">
        <v>177</v>
      </c>
      <c r="B745" s="225">
        <v>12500100200</v>
      </c>
      <c r="C745" s="227" t="s">
        <v>337</v>
      </c>
      <c r="D745" s="228">
        <v>3000000</v>
      </c>
      <c r="E745" s="226">
        <v>0</v>
      </c>
      <c r="F745" s="226">
        <v>0</v>
      </c>
      <c r="G745" s="60">
        <v>0</v>
      </c>
      <c r="H745" s="183">
        <f t="shared" si="18"/>
        <v>3000000</v>
      </c>
      <c r="I745" s="178"/>
    </row>
    <row r="746" spans="1:9">
      <c r="A746" s="177" t="s">
        <v>24</v>
      </c>
      <c r="B746" s="225">
        <v>23305200100</v>
      </c>
      <c r="C746" s="227" t="s">
        <v>338</v>
      </c>
      <c r="D746" s="228">
        <v>10000000</v>
      </c>
      <c r="E746" s="226">
        <v>0</v>
      </c>
      <c r="F746" s="226">
        <v>0</v>
      </c>
      <c r="G746" s="60">
        <v>0</v>
      </c>
      <c r="H746" s="183">
        <f t="shared" si="18"/>
        <v>10000000</v>
      </c>
      <c r="I746" s="178"/>
    </row>
    <row r="747" spans="1:9" ht="27.75" customHeight="1">
      <c r="A747" s="177" t="s">
        <v>25</v>
      </c>
      <c r="B747" s="225">
        <v>23400400100</v>
      </c>
      <c r="C747" s="227" t="s">
        <v>76</v>
      </c>
      <c r="D747" s="228">
        <v>50000000</v>
      </c>
      <c r="E747" s="226">
        <v>0</v>
      </c>
      <c r="F747" s="226">
        <v>0</v>
      </c>
      <c r="G747" s="60">
        <v>0</v>
      </c>
      <c r="H747" s="183">
        <f t="shared" si="18"/>
        <v>50000000</v>
      </c>
      <c r="I747" s="178"/>
    </row>
    <row r="748" spans="1:9" ht="24">
      <c r="A748" s="177" t="s">
        <v>178</v>
      </c>
      <c r="B748" s="225">
        <v>51300100200</v>
      </c>
      <c r="C748" s="227" t="s">
        <v>88</v>
      </c>
      <c r="D748" s="228">
        <v>650000000</v>
      </c>
      <c r="E748" s="226">
        <v>0</v>
      </c>
      <c r="F748" s="226">
        <v>0</v>
      </c>
      <c r="G748" s="60">
        <v>0</v>
      </c>
      <c r="H748" s="183">
        <f t="shared" si="18"/>
        <v>650000000</v>
      </c>
      <c r="I748" s="178"/>
    </row>
    <row r="749" spans="1:9">
      <c r="A749" s="177" t="s">
        <v>33</v>
      </c>
      <c r="B749" s="225">
        <v>51701800100</v>
      </c>
      <c r="C749" s="227" t="s">
        <v>93</v>
      </c>
      <c r="D749" s="229">
        <v>2870000000</v>
      </c>
      <c r="E749" s="226">
        <v>0</v>
      </c>
      <c r="F749" s="226">
        <v>0</v>
      </c>
      <c r="G749" s="60">
        <v>0</v>
      </c>
      <c r="H749" s="183">
        <f t="shared" si="18"/>
        <v>2870000000</v>
      </c>
      <c r="I749" s="178"/>
    </row>
    <row r="750" spans="1:9" ht="24">
      <c r="A750" s="177" t="s">
        <v>180</v>
      </c>
      <c r="B750" s="225">
        <v>51702100100</v>
      </c>
      <c r="C750" s="227" t="s">
        <v>94</v>
      </c>
      <c r="D750" s="229">
        <v>1931169686.0699999</v>
      </c>
      <c r="E750" s="226">
        <v>0</v>
      </c>
      <c r="F750" s="226">
        <v>0</v>
      </c>
      <c r="G750" s="60">
        <v>0</v>
      </c>
      <c r="H750" s="183">
        <f t="shared" si="18"/>
        <v>1931169686.0699999</v>
      </c>
      <c r="I750" s="178"/>
    </row>
    <row r="751" spans="1:9" ht="24">
      <c r="A751" s="177" t="s">
        <v>183</v>
      </c>
      <c r="B751" s="225">
        <v>51702100200</v>
      </c>
      <c r="C751" s="227" t="s">
        <v>95</v>
      </c>
      <c r="D751" s="228">
        <v>777000000</v>
      </c>
      <c r="E751" s="226">
        <v>0</v>
      </c>
      <c r="F751" s="226">
        <v>0</v>
      </c>
      <c r="G751" s="60">
        <v>0</v>
      </c>
      <c r="H751" s="183">
        <f t="shared" si="18"/>
        <v>777000000</v>
      </c>
      <c r="I751" s="178"/>
    </row>
    <row r="752" spans="1:9" ht="24">
      <c r="A752" s="177" t="s">
        <v>184</v>
      </c>
      <c r="B752" s="225">
        <v>51702100300</v>
      </c>
      <c r="C752" s="227" t="s">
        <v>96</v>
      </c>
      <c r="D752" s="228">
        <v>600000000</v>
      </c>
      <c r="E752" s="226">
        <v>0</v>
      </c>
      <c r="F752" s="226">
        <v>0</v>
      </c>
      <c r="G752" s="60">
        <v>0</v>
      </c>
      <c r="H752" s="183">
        <f t="shared" si="18"/>
        <v>600000000</v>
      </c>
      <c r="I752" s="178"/>
    </row>
    <row r="753" spans="1:9" ht="24">
      <c r="A753" s="177" t="s">
        <v>185</v>
      </c>
      <c r="B753" s="225">
        <v>5202600100</v>
      </c>
      <c r="C753" s="227" t="s">
        <v>340</v>
      </c>
      <c r="D753" s="230">
        <v>0</v>
      </c>
      <c r="E753" s="226"/>
      <c r="F753" s="226">
        <v>0</v>
      </c>
      <c r="G753" s="60">
        <v>200000000</v>
      </c>
      <c r="H753" s="183">
        <f t="shared" si="18"/>
        <v>200000000</v>
      </c>
      <c r="I753" s="178" t="s">
        <v>310</v>
      </c>
    </row>
    <row r="754" spans="1:9">
      <c r="A754" s="177" t="s">
        <v>186</v>
      </c>
      <c r="B754" s="225">
        <v>53905300100</v>
      </c>
      <c r="C754" s="227" t="s">
        <v>339</v>
      </c>
      <c r="D754" s="228">
        <v>80000000</v>
      </c>
      <c r="E754" s="226">
        <v>0</v>
      </c>
      <c r="F754" s="226">
        <v>0</v>
      </c>
      <c r="G754" s="60">
        <v>0</v>
      </c>
      <c r="H754" s="183">
        <f t="shared" si="18"/>
        <v>80000000</v>
      </c>
      <c r="I754" s="178"/>
    </row>
    <row r="755" spans="1:9">
      <c r="A755" s="561"/>
      <c r="B755" s="567"/>
      <c r="C755" s="562" t="s">
        <v>695</v>
      </c>
      <c r="D755" s="563">
        <v>0</v>
      </c>
      <c r="E755" s="564">
        <v>0</v>
      </c>
      <c r="F755" s="226">
        <v>0</v>
      </c>
      <c r="G755" s="565">
        <v>1563270000</v>
      </c>
      <c r="H755" s="566">
        <f t="shared" si="18"/>
        <v>1563270000</v>
      </c>
      <c r="I755" s="178" t="s">
        <v>310</v>
      </c>
    </row>
    <row r="756" spans="1:9" ht="15" customHeight="1">
      <c r="A756" s="685"/>
      <c r="B756" s="686"/>
      <c r="C756" s="179" t="s">
        <v>41</v>
      </c>
      <c r="D756" s="341">
        <f>SUM(D741:D755)</f>
        <v>7227169686.0699997</v>
      </c>
      <c r="E756" s="342">
        <f>SUM(E741:E755)</f>
        <v>0</v>
      </c>
      <c r="F756" s="226">
        <v>0</v>
      </c>
      <c r="G756" s="341">
        <f>SUM(G741:G755)</f>
        <v>1763270000</v>
      </c>
      <c r="H756" s="341">
        <f>SUM(H741:H755)</f>
        <v>8990439686.0699997</v>
      </c>
      <c r="I756" s="114"/>
    </row>
  </sheetData>
  <mergeCells count="70">
    <mergeCell ref="A608:I608"/>
    <mergeCell ref="A609:I609"/>
    <mergeCell ref="A610:I610"/>
    <mergeCell ref="A374:I374"/>
    <mergeCell ref="A375:I375"/>
    <mergeCell ref="A376:I376"/>
    <mergeCell ref="A405:I405"/>
    <mergeCell ref="A406:I406"/>
    <mergeCell ref="A407:I407"/>
    <mergeCell ref="A436:I436"/>
    <mergeCell ref="A577:I577"/>
    <mergeCell ref="A578:I578"/>
    <mergeCell ref="A579:I579"/>
    <mergeCell ref="A551:I551"/>
    <mergeCell ref="A552:I552"/>
    <mergeCell ref="A437:I437"/>
    <mergeCell ref="A316:I316"/>
    <mergeCell ref="A317:I317"/>
    <mergeCell ref="A345:I345"/>
    <mergeCell ref="A346:I346"/>
    <mergeCell ref="A347:I347"/>
    <mergeCell ref="A227:I227"/>
    <mergeCell ref="A284:I284"/>
    <mergeCell ref="A285:I285"/>
    <mergeCell ref="A286:I286"/>
    <mergeCell ref="A315:I315"/>
    <mergeCell ref="A193:I193"/>
    <mergeCell ref="A194:I194"/>
    <mergeCell ref="A195:I195"/>
    <mergeCell ref="A225:I225"/>
    <mergeCell ref="A226:I226"/>
    <mergeCell ref="A756:B756"/>
    <mergeCell ref="A705:H705"/>
    <mergeCell ref="A737:H737"/>
    <mergeCell ref="A739:H739"/>
    <mergeCell ref="A707:H707"/>
    <mergeCell ref="A715:B715"/>
    <mergeCell ref="A703:I703"/>
    <mergeCell ref="A704:I704"/>
    <mergeCell ref="A735:I735"/>
    <mergeCell ref="A736:I736"/>
    <mergeCell ref="A639:I639"/>
    <mergeCell ref="A640:I640"/>
    <mergeCell ref="A641:I641"/>
    <mergeCell ref="A672:I672"/>
    <mergeCell ref="A670:I670"/>
    <mergeCell ref="A671:I671"/>
    <mergeCell ref="A1:I1"/>
    <mergeCell ref="A2:I2"/>
    <mergeCell ref="A3:I3"/>
    <mergeCell ref="A34:I34"/>
    <mergeCell ref="A35:I35"/>
    <mergeCell ref="A161:I161"/>
    <mergeCell ref="A162:I162"/>
    <mergeCell ref="A163:I163"/>
    <mergeCell ref="A36:I36"/>
    <mergeCell ref="A65:I65"/>
    <mergeCell ref="A66:I66"/>
    <mergeCell ref="A130:I130"/>
    <mergeCell ref="A131:I131"/>
    <mergeCell ref="A67:I67"/>
    <mergeCell ref="A97:I97"/>
    <mergeCell ref="A98:I98"/>
    <mergeCell ref="A99:I99"/>
    <mergeCell ref="A129:I129"/>
    <mergeCell ref="A438:I438"/>
    <mergeCell ref="A494:I494"/>
    <mergeCell ref="A495:I495"/>
    <mergeCell ref="A496:I496"/>
    <mergeCell ref="A550:I550"/>
  </mergeCells>
  <pageMargins left="0.5" right="0.2" top="0.75" bottom="0.75" header="0.3" footer="0.3"/>
  <pageSetup firstPageNumber="8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91"/>
  <sheetViews>
    <sheetView tabSelected="1" topLeftCell="A72" workbookViewId="0">
      <selection activeCell="J77" sqref="J77"/>
    </sheetView>
  </sheetViews>
  <sheetFormatPr defaultRowHeight="15"/>
  <cols>
    <col min="1" max="1" width="3.140625" customWidth="1"/>
    <col min="2" max="2" width="21.28515625" customWidth="1"/>
    <col min="3" max="3" width="4.7109375" customWidth="1"/>
    <col min="4" max="4" width="13.28515625" customWidth="1"/>
    <col min="5" max="5" width="23.85546875" customWidth="1"/>
    <col min="6" max="6" width="13.85546875" customWidth="1"/>
    <col min="7" max="7" width="13" customWidth="1"/>
    <col min="8" max="8" width="14.28515625" customWidth="1"/>
    <col min="9" max="9" width="13.85546875" customWidth="1"/>
    <col min="10" max="10" width="11.140625" customWidth="1"/>
    <col min="11" max="11" width="14.5703125" bestFit="1" customWidth="1"/>
  </cols>
  <sheetData>
    <row r="1" spans="1:11">
      <c r="A1" s="679" t="s">
        <v>9</v>
      </c>
      <c r="B1" s="679"/>
      <c r="C1" s="679"/>
      <c r="D1" s="679"/>
      <c r="E1" s="679"/>
      <c r="F1" s="679"/>
      <c r="G1" s="679"/>
      <c r="H1" s="679"/>
      <c r="I1" s="679"/>
      <c r="J1" s="679"/>
    </row>
    <row r="2" spans="1:11">
      <c r="A2" s="679" t="s">
        <v>664</v>
      </c>
      <c r="B2" s="679"/>
      <c r="C2" s="679"/>
      <c r="D2" s="679"/>
      <c r="E2" s="679"/>
      <c r="F2" s="679"/>
      <c r="G2" s="679"/>
      <c r="H2" s="679"/>
      <c r="I2" s="679"/>
      <c r="J2" s="679"/>
    </row>
    <row r="3" spans="1:11">
      <c r="A3" s="679" t="s">
        <v>35</v>
      </c>
      <c r="B3" s="679"/>
      <c r="C3" s="679"/>
      <c r="D3" s="679"/>
      <c r="E3" s="679"/>
      <c r="F3" s="679"/>
      <c r="G3" s="679"/>
      <c r="H3" s="679"/>
      <c r="I3" s="679"/>
      <c r="J3" s="679"/>
    </row>
    <row r="4" spans="1:11">
      <c r="A4" s="682" t="s">
        <v>167</v>
      </c>
      <c r="B4" s="682"/>
      <c r="C4" s="682"/>
      <c r="D4" s="682"/>
      <c r="E4" s="682"/>
      <c r="F4" s="682"/>
      <c r="G4" s="682"/>
      <c r="H4" s="682"/>
      <c r="I4" s="682"/>
      <c r="J4" s="682"/>
    </row>
    <row r="5" spans="1:11" s="33" customFormat="1" ht="38.25" customHeight="1">
      <c r="A5" s="144" t="s">
        <v>0</v>
      </c>
      <c r="B5" s="144" t="s">
        <v>30</v>
      </c>
      <c r="C5" s="144" t="s">
        <v>2</v>
      </c>
      <c r="D5" s="145" t="s">
        <v>20</v>
      </c>
      <c r="E5" s="144" t="s">
        <v>36</v>
      </c>
      <c r="F5" s="145" t="s">
        <v>214</v>
      </c>
      <c r="G5" s="145" t="s">
        <v>538</v>
      </c>
      <c r="H5" s="145" t="s">
        <v>32</v>
      </c>
      <c r="I5" s="215" t="s">
        <v>512</v>
      </c>
      <c r="J5" s="144" t="s">
        <v>334</v>
      </c>
    </row>
    <row r="6" spans="1:11" s="35" customFormat="1" ht="18" customHeight="1">
      <c r="A6" s="115">
        <v>1</v>
      </c>
      <c r="B6" s="115">
        <v>2</v>
      </c>
      <c r="C6" s="147">
        <v>3</v>
      </c>
      <c r="D6" s="198" t="s">
        <v>23</v>
      </c>
      <c r="E6" s="188">
        <v>5</v>
      </c>
      <c r="F6" s="199">
        <v>6</v>
      </c>
      <c r="G6" s="199"/>
      <c r="H6" s="200">
        <v>8</v>
      </c>
      <c r="I6" s="216" t="s">
        <v>33</v>
      </c>
      <c r="J6" s="34">
        <v>10</v>
      </c>
    </row>
    <row r="7" spans="1:11" s="38" customFormat="1" ht="23.25" customHeight="1" thickBot="1">
      <c r="A7" s="173">
        <v>1</v>
      </c>
      <c r="B7" s="141" t="s">
        <v>43</v>
      </c>
      <c r="C7" s="173">
        <v>107</v>
      </c>
      <c r="D7" s="332" t="s">
        <v>551</v>
      </c>
      <c r="E7" s="139" t="s">
        <v>552</v>
      </c>
      <c r="F7" s="190">
        <v>4000000000</v>
      </c>
      <c r="G7" s="190">
        <v>0</v>
      </c>
      <c r="H7" s="190">
        <v>3000000000</v>
      </c>
      <c r="I7" s="217">
        <f t="shared" ref="I7:I12" si="0">F7-H7</f>
        <v>1000000000</v>
      </c>
      <c r="J7" s="171"/>
      <c r="K7" s="64"/>
    </row>
    <row r="8" spans="1:11" s="38" customFormat="1" ht="21.75" customHeight="1" thickBot="1">
      <c r="A8" s="195"/>
      <c r="B8" s="208"/>
      <c r="C8" s="209"/>
      <c r="D8" s="210"/>
      <c r="E8" s="384" t="s">
        <v>550</v>
      </c>
      <c r="F8" s="211">
        <f>SUM(F7:F7)</f>
        <v>4000000000</v>
      </c>
      <c r="G8" s="211">
        <f>SUM(G7:G7)</f>
        <v>0</v>
      </c>
      <c r="H8" s="211">
        <f>SUM(H7:H7)</f>
        <v>3000000000</v>
      </c>
      <c r="I8" s="219">
        <f>SUM(I7:I7)</f>
        <v>1000000000</v>
      </c>
      <c r="J8" s="172"/>
      <c r="K8" s="64"/>
    </row>
    <row r="9" spans="1:11" s="38" customFormat="1" ht="7.5" customHeight="1">
      <c r="A9" s="203"/>
      <c r="B9" s="204"/>
      <c r="C9" s="205"/>
      <c r="D9" s="206"/>
      <c r="E9" s="203"/>
      <c r="F9" s="207"/>
      <c r="G9" s="207"/>
      <c r="H9" s="207"/>
      <c r="I9" s="220"/>
      <c r="J9" s="175"/>
      <c r="K9" s="64"/>
    </row>
    <row r="10" spans="1:11" s="38" customFormat="1" ht="24.75" customHeight="1">
      <c r="A10" s="173">
        <v>2</v>
      </c>
      <c r="B10" s="141" t="s">
        <v>83</v>
      </c>
      <c r="C10" s="173">
        <v>152</v>
      </c>
      <c r="D10" s="333" t="s">
        <v>598</v>
      </c>
      <c r="E10" s="91" t="s">
        <v>330</v>
      </c>
      <c r="F10" s="190">
        <v>70000000</v>
      </c>
      <c r="G10" s="190">
        <v>0</v>
      </c>
      <c r="H10" s="190">
        <v>50000000</v>
      </c>
      <c r="I10" s="217">
        <f t="shared" si="0"/>
        <v>20000000</v>
      </c>
      <c r="J10" s="171"/>
      <c r="K10" s="64"/>
    </row>
    <row r="11" spans="1:11" s="38" customFormat="1" ht="24" customHeight="1">
      <c r="A11" s="173"/>
      <c r="B11" s="141"/>
      <c r="C11" s="189"/>
      <c r="D11" s="332" t="s">
        <v>599</v>
      </c>
      <c r="E11" s="134" t="s">
        <v>331</v>
      </c>
      <c r="F11" s="190">
        <v>200000000</v>
      </c>
      <c r="G11" s="337">
        <v>17322820.899999999</v>
      </c>
      <c r="H11" s="190">
        <v>150000000</v>
      </c>
      <c r="I11" s="217">
        <f t="shared" si="0"/>
        <v>50000000</v>
      </c>
      <c r="J11" s="171"/>
      <c r="K11" s="64"/>
    </row>
    <row r="12" spans="1:11" s="38" customFormat="1" ht="35.25" customHeight="1" thickBot="1">
      <c r="A12" s="174"/>
      <c r="B12" s="201"/>
      <c r="C12" s="197"/>
      <c r="D12" s="323" t="s">
        <v>600</v>
      </c>
      <c r="E12" s="137" t="s">
        <v>332</v>
      </c>
      <c r="F12" s="128">
        <v>120000000</v>
      </c>
      <c r="G12" s="128">
        <v>0</v>
      </c>
      <c r="H12" s="128">
        <v>100000000</v>
      </c>
      <c r="I12" s="218">
        <f t="shared" si="0"/>
        <v>20000000</v>
      </c>
      <c r="J12" s="186"/>
      <c r="K12" s="64"/>
    </row>
    <row r="13" spans="1:11" s="38" customFormat="1" ht="22.5" customHeight="1" thickBot="1">
      <c r="A13" s="195"/>
      <c r="B13" s="140"/>
      <c r="C13" s="209"/>
      <c r="D13" s="210"/>
      <c r="E13" s="384" t="s">
        <v>333</v>
      </c>
      <c r="F13" s="132">
        <f>SUM(F10:F12)</f>
        <v>390000000</v>
      </c>
      <c r="G13" s="132">
        <f>SUM(G10:G12)</f>
        <v>17322820.899999999</v>
      </c>
      <c r="H13" s="132">
        <f>SUM(H10:H12)</f>
        <v>300000000</v>
      </c>
      <c r="I13" s="221">
        <f>SUM(I10:I12)</f>
        <v>90000000</v>
      </c>
      <c r="J13" s="172"/>
      <c r="K13" s="64"/>
    </row>
    <row r="14" spans="1:11" s="38" customFormat="1" ht="6.75" customHeight="1">
      <c r="A14" s="203"/>
      <c r="B14" s="212"/>
      <c r="C14" s="205"/>
      <c r="D14" s="206"/>
      <c r="E14" s="212"/>
      <c r="F14" s="381"/>
      <c r="G14" s="381"/>
      <c r="H14" s="381"/>
      <c r="I14" s="381"/>
      <c r="J14" s="175"/>
      <c r="K14" s="64"/>
    </row>
    <row r="15" spans="1:11" s="38" customFormat="1" ht="45.75" customHeight="1" thickBot="1">
      <c r="A15" s="174">
        <v>3</v>
      </c>
      <c r="B15" s="201" t="s">
        <v>54</v>
      </c>
      <c r="C15" s="174">
        <v>116</v>
      </c>
      <c r="D15" s="359" t="s">
        <v>602</v>
      </c>
      <c r="E15" s="137" t="s">
        <v>601</v>
      </c>
      <c r="F15" s="387">
        <v>2574702900</v>
      </c>
      <c r="G15" s="128">
        <v>0</v>
      </c>
      <c r="H15" s="128">
        <v>1850000000</v>
      </c>
      <c r="I15" s="218">
        <f>F15-H15</f>
        <v>724702900</v>
      </c>
      <c r="J15" s="186"/>
      <c r="K15" s="64"/>
    </row>
    <row r="16" spans="1:11" s="38" customFormat="1" ht="45" customHeight="1" thickBot="1">
      <c r="A16" s="195"/>
      <c r="B16" s="140"/>
      <c r="C16" s="209"/>
      <c r="D16" s="210"/>
      <c r="E16" s="384" t="s">
        <v>648</v>
      </c>
      <c r="F16" s="132">
        <f>SUM(F15)</f>
        <v>2574702900</v>
      </c>
      <c r="G16" s="132">
        <f>SUM(G15)</f>
        <v>0</v>
      </c>
      <c r="H16" s="132">
        <f>SUM(H15)</f>
        <v>1850000000</v>
      </c>
      <c r="I16" s="132">
        <f>SUM(I15)</f>
        <v>724702900</v>
      </c>
      <c r="J16" s="172"/>
      <c r="K16" s="64"/>
    </row>
    <row r="17" spans="1:11" s="38" customFormat="1" ht="7.5" customHeight="1">
      <c r="A17" s="203"/>
      <c r="B17" s="212"/>
      <c r="C17" s="205"/>
      <c r="D17" s="206"/>
      <c r="E17" s="395"/>
      <c r="F17" s="381"/>
      <c r="G17" s="381"/>
      <c r="H17" s="381"/>
      <c r="I17" s="381"/>
      <c r="J17" s="175"/>
      <c r="K17" s="64"/>
    </row>
    <row r="18" spans="1:11" s="38" customFormat="1" ht="23.25" customHeight="1">
      <c r="A18" s="173">
        <v>4</v>
      </c>
      <c r="B18" s="141" t="s">
        <v>317</v>
      </c>
      <c r="C18" s="173">
        <v>191</v>
      </c>
      <c r="D18" s="332" t="s">
        <v>606</v>
      </c>
      <c r="E18" s="394" t="s">
        <v>603</v>
      </c>
      <c r="F18" s="382">
        <v>120000000</v>
      </c>
      <c r="G18" s="382">
        <v>0</v>
      </c>
      <c r="H18" s="382">
        <v>120000000</v>
      </c>
      <c r="I18" s="218">
        <f>F18-H18</f>
        <v>0</v>
      </c>
      <c r="J18" s="171"/>
      <c r="K18" s="64"/>
    </row>
    <row r="19" spans="1:11" s="38" customFormat="1" ht="24.75" customHeight="1" thickBot="1">
      <c r="A19" s="174"/>
      <c r="B19" s="201"/>
      <c r="C19" s="197"/>
      <c r="D19" s="323" t="s">
        <v>605</v>
      </c>
      <c r="E19" s="396" t="s">
        <v>604</v>
      </c>
      <c r="F19" s="387">
        <v>70000000</v>
      </c>
      <c r="G19" s="387">
        <v>0</v>
      </c>
      <c r="H19" s="387">
        <v>70000000</v>
      </c>
      <c r="I19" s="218">
        <f>F19-H19</f>
        <v>0</v>
      </c>
      <c r="J19" s="186"/>
      <c r="K19" s="64"/>
    </row>
    <row r="20" spans="1:11" s="38" customFormat="1" ht="26.25" customHeight="1" thickBot="1">
      <c r="A20" s="195"/>
      <c r="B20" s="140"/>
      <c r="C20" s="209"/>
      <c r="D20" s="210"/>
      <c r="E20" s="140" t="s">
        <v>320</v>
      </c>
      <c r="F20" s="132">
        <f>SUM(F18:F19)</f>
        <v>190000000</v>
      </c>
      <c r="G20" s="132">
        <f>SUM(G18:G19)</f>
        <v>0</v>
      </c>
      <c r="H20" s="132">
        <f>SUM(H18:H19)</f>
        <v>190000000</v>
      </c>
      <c r="I20" s="132">
        <f>SUM(I18:I19)</f>
        <v>0</v>
      </c>
      <c r="J20" s="172"/>
      <c r="K20" s="64"/>
    </row>
    <row r="21" spans="1:11" s="38" customFormat="1" ht="7.5" customHeight="1">
      <c r="A21" s="203"/>
      <c r="B21" s="212"/>
      <c r="C21" s="205"/>
      <c r="D21" s="206"/>
      <c r="E21" s="212"/>
      <c r="F21" s="381"/>
      <c r="G21" s="381"/>
      <c r="H21" s="381"/>
      <c r="I21" s="381"/>
      <c r="J21" s="175"/>
      <c r="K21" s="64"/>
    </row>
    <row r="22" spans="1:11" s="38" customFormat="1" ht="24.75" customHeight="1" thickBot="1">
      <c r="A22" s="174">
        <v>5</v>
      </c>
      <c r="B22" s="201" t="s">
        <v>75</v>
      </c>
      <c r="C22" s="174">
        <v>144</v>
      </c>
      <c r="D22" s="323" t="s">
        <v>612</v>
      </c>
      <c r="E22" s="202" t="s">
        <v>613</v>
      </c>
      <c r="F22" s="387">
        <v>400000000</v>
      </c>
      <c r="G22" s="387">
        <v>0</v>
      </c>
      <c r="H22" s="387">
        <v>400000000</v>
      </c>
      <c r="I22" s="387">
        <f>F22-H22</f>
        <v>0</v>
      </c>
      <c r="J22" s="186"/>
      <c r="K22" s="64"/>
    </row>
    <row r="23" spans="1:11" s="38" customFormat="1" ht="24.75" customHeight="1" thickBot="1">
      <c r="A23" s="195"/>
      <c r="B23" s="140"/>
      <c r="C23" s="209"/>
      <c r="D23" s="210"/>
      <c r="E23" s="140" t="s">
        <v>614</v>
      </c>
      <c r="F23" s="132">
        <f>SUM(F22)</f>
        <v>400000000</v>
      </c>
      <c r="G23" s="132">
        <f t="shared" ref="G23:I23" si="1">SUM(G22)</f>
        <v>0</v>
      </c>
      <c r="H23" s="132">
        <f t="shared" si="1"/>
        <v>400000000</v>
      </c>
      <c r="I23" s="132">
        <f t="shared" si="1"/>
        <v>0</v>
      </c>
      <c r="J23" s="172"/>
      <c r="K23" s="64"/>
    </row>
    <row r="24" spans="1:11" s="38" customFormat="1" ht="6" customHeight="1">
      <c r="A24" s="585"/>
      <c r="B24" s="55"/>
      <c r="C24" s="616"/>
      <c r="D24" s="586"/>
      <c r="E24" s="55"/>
      <c r="F24" s="597"/>
      <c r="G24" s="597"/>
      <c r="H24" s="597"/>
      <c r="I24" s="597"/>
      <c r="K24" s="64"/>
    </row>
    <row r="25" spans="1:11" s="38" customFormat="1" ht="43.5" customHeight="1" thickBot="1">
      <c r="A25" s="477">
        <v>6</v>
      </c>
      <c r="B25" s="518" t="s">
        <v>64</v>
      </c>
      <c r="C25" s="613">
        <v>125</v>
      </c>
      <c r="D25" s="501" t="s">
        <v>700</v>
      </c>
      <c r="E25" s="507" t="s">
        <v>701</v>
      </c>
      <c r="F25" s="614">
        <v>2000000000</v>
      </c>
      <c r="G25" s="337">
        <v>30657000</v>
      </c>
      <c r="H25" s="615">
        <v>1900000000</v>
      </c>
      <c r="I25" s="387">
        <f>F25-H25</f>
        <v>100000000</v>
      </c>
      <c r="J25" s="477"/>
      <c r="K25" s="64"/>
    </row>
    <row r="26" spans="1:11" s="38" customFormat="1" ht="33.75" customHeight="1" thickBot="1">
      <c r="A26" s="577"/>
      <c r="B26" s="578"/>
      <c r="C26" s="579"/>
      <c r="D26" s="580"/>
      <c r="E26" s="140" t="s">
        <v>699</v>
      </c>
      <c r="F26" s="581">
        <f>SUM(F25)</f>
        <v>2000000000</v>
      </c>
      <c r="G26" s="581"/>
      <c r="H26" s="582">
        <f>SUM(H25)</f>
        <v>1900000000</v>
      </c>
      <c r="I26" s="582">
        <f>SUM(I25)</f>
        <v>100000000</v>
      </c>
      <c r="J26" s="172"/>
      <c r="K26" s="64"/>
    </row>
    <row r="27" spans="1:11" s="38" customFormat="1" ht="5.25" customHeight="1">
      <c r="A27" s="203"/>
      <c r="B27" s="212"/>
      <c r="C27" s="205"/>
      <c r="D27" s="206"/>
      <c r="E27" s="212"/>
      <c r="F27" s="381"/>
      <c r="G27" s="381"/>
      <c r="H27" s="381"/>
      <c r="I27" s="381"/>
      <c r="J27" s="175"/>
      <c r="K27" s="64"/>
    </row>
    <row r="28" spans="1:11" s="38" customFormat="1" ht="32.25" customHeight="1" thickBot="1">
      <c r="A28" s="174">
        <v>7</v>
      </c>
      <c r="B28" s="573" t="s">
        <v>632</v>
      </c>
      <c r="C28" s="174">
        <v>142</v>
      </c>
      <c r="D28" s="323" t="s">
        <v>702</v>
      </c>
      <c r="E28" s="380" t="s">
        <v>703</v>
      </c>
      <c r="F28" s="387">
        <v>1500000000</v>
      </c>
      <c r="G28" s="387">
        <v>328427950</v>
      </c>
      <c r="H28" s="387">
        <v>1000000000</v>
      </c>
      <c r="I28" s="387">
        <f t="shared" ref="I28" si="2">F28-H28</f>
        <v>500000000</v>
      </c>
      <c r="J28" s="186"/>
      <c r="K28" s="64"/>
    </row>
    <row r="29" spans="1:11" s="38" customFormat="1" ht="33" customHeight="1" thickBot="1">
      <c r="A29" s="195"/>
      <c r="B29" s="140"/>
      <c r="C29" s="209"/>
      <c r="D29" s="210"/>
      <c r="E29" s="138" t="s">
        <v>707</v>
      </c>
      <c r="F29" s="132">
        <f>SUM(F28)</f>
        <v>1500000000</v>
      </c>
      <c r="G29" s="132">
        <f>SUM(G28)</f>
        <v>328427950</v>
      </c>
      <c r="H29" s="132">
        <f>SUM(H28)</f>
        <v>1000000000</v>
      </c>
      <c r="I29" s="132">
        <f>SUM(I28)</f>
        <v>500000000</v>
      </c>
      <c r="J29" s="172"/>
      <c r="K29" s="64"/>
    </row>
    <row r="30" spans="1:11" s="38" customFormat="1" ht="9" customHeight="1">
      <c r="A30" s="203"/>
      <c r="B30" s="212"/>
      <c r="C30" s="205"/>
      <c r="D30" s="206"/>
      <c r="E30" s="212"/>
      <c r="F30" s="381"/>
      <c r="G30" s="381"/>
      <c r="H30" s="381"/>
      <c r="I30" s="381"/>
      <c r="J30" s="175"/>
      <c r="K30" s="64"/>
    </row>
    <row r="31" spans="1:11" s="38" customFormat="1" ht="33" customHeight="1" thickBot="1">
      <c r="A31" s="174">
        <v>8</v>
      </c>
      <c r="B31" s="201" t="s">
        <v>641</v>
      </c>
      <c r="C31" s="174">
        <v>159</v>
      </c>
      <c r="D31" s="323" t="s">
        <v>705</v>
      </c>
      <c r="E31" s="202" t="s">
        <v>704</v>
      </c>
      <c r="F31" s="387">
        <v>705000000</v>
      </c>
      <c r="G31" s="583">
        <v>0</v>
      </c>
      <c r="H31" s="387">
        <v>400000000</v>
      </c>
      <c r="I31" s="387">
        <f t="shared" ref="I31" si="3">F31-H31</f>
        <v>305000000</v>
      </c>
      <c r="J31" s="186"/>
      <c r="K31" s="64"/>
    </row>
    <row r="32" spans="1:11" s="38" customFormat="1" ht="34.5" customHeight="1" thickBot="1">
      <c r="A32" s="195"/>
      <c r="B32" s="140"/>
      <c r="C32" s="209"/>
      <c r="D32" s="210"/>
      <c r="E32" s="140" t="s">
        <v>706</v>
      </c>
      <c r="F32" s="132">
        <f>SUM(F31)</f>
        <v>705000000</v>
      </c>
      <c r="G32" s="132">
        <f>SUM(G31)</f>
        <v>0</v>
      </c>
      <c r="H32" s="132">
        <f>SUM(H31)</f>
        <v>400000000</v>
      </c>
      <c r="I32" s="132">
        <f>SUM(I31)</f>
        <v>305000000</v>
      </c>
      <c r="J32" s="172"/>
      <c r="K32" s="64"/>
    </row>
    <row r="33" spans="1:11" s="38" customFormat="1" ht="8.25" customHeight="1">
      <c r="A33" s="203"/>
      <c r="B33" s="212"/>
      <c r="C33" s="205"/>
      <c r="D33" s="206"/>
      <c r="E33" s="212"/>
      <c r="F33" s="381"/>
      <c r="G33" s="381"/>
      <c r="H33" s="381"/>
      <c r="I33" s="381"/>
      <c r="J33" s="175"/>
      <c r="K33" s="64"/>
    </row>
    <row r="34" spans="1:11" s="38" customFormat="1" ht="21.75" customHeight="1">
      <c r="A34" s="173">
        <v>9</v>
      </c>
      <c r="B34" s="141" t="s">
        <v>631</v>
      </c>
      <c r="C34" s="173">
        <v>129</v>
      </c>
      <c r="D34" s="332" t="s">
        <v>709</v>
      </c>
      <c r="E34" s="91" t="s">
        <v>708</v>
      </c>
      <c r="F34" s="590">
        <v>250392000</v>
      </c>
      <c r="G34" s="590">
        <v>10457000</v>
      </c>
      <c r="H34" s="382">
        <v>200000000</v>
      </c>
      <c r="I34" s="382">
        <f t="shared" ref="I34:I35" si="4">F34-H34</f>
        <v>50392000</v>
      </c>
      <c r="J34" s="171"/>
      <c r="K34" s="64"/>
    </row>
    <row r="35" spans="1:11" s="38" customFormat="1" ht="57.75" customHeight="1" thickBot="1">
      <c r="A35" s="174"/>
      <c r="B35" s="201"/>
      <c r="C35" s="197"/>
      <c r="D35" s="323" t="s">
        <v>712</v>
      </c>
      <c r="E35" s="137" t="s">
        <v>711</v>
      </c>
      <c r="F35" s="592">
        <v>500000000</v>
      </c>
      <c r="G35" s="592">
        <v>41000000</v>
      </c>
      <c r="H35" s="387">
        <v>300000000</v>
      </c>
      <c r="I35" s="387">
        <f t="shared" si="4"/>
        <v>200000000</v>
      </c>
      <c r="J35" s="477"/>
      <c r="K35" s="64"/>
    </row>
    <row r="36" spans="1:11" s="38" customFormat="1" ht="24.75" customHeight="1" thickBot="1">
      <c r="A36" s="195"/>
      <c r="B36" s="140"/>
      <c r="C36" s="209"/>
      <c r="D36" s="210"/>
      <c r="E36" s="140" t="s">
        <v>710</v>
      </c>
      <c r="F36" s="132">
        <f t="shared" ref="F36:H36" si="5">SUM(F34:F35)</f>
        <v>750392000</v>
      </c>
      <c r="G36" s="132">
        <f t="shared" si="5"/>
        <v>51457000</v>
      </c>
      <c r="H36" s="132">
        <f t="shared" si="5"/>
        <v>500000000</v>
      </c>
      <c r="I36" s="132">
        <f>SUM(I34:I35)</f>
        <v>250392000</v>
      </c>
      <c r="J36" s="172"/>
      <c r="K36" s="64"/>
    </row>
    <row r="37" spans="1:11" s="38" customFormat="1" ht="4.5" customHeight="1">
      <c r="A37" s="203"/>
      <c r="B37" s="212"/>
      <c r="C37" s="205"/>
      <c r="D37" s="206"/>
      <c r="E37" s="212"/>
      <c r="F37" s="381"/>
      <c r="G37" s="381"/>
      <c r="H37" s="381"/>
      <c r="I37" s="381"/>
      <c r="J37" s="175"/>
      <c r="K37" s="64"/>
    </row>
    <row r="38" spans="1:11" s="38" customFormat="1" ht="22.5" customHeight="1" thickBot="1">
      <c r="A38" s="174">
        <v>10</v>
      </c>
      <c r="B38" s="573" t="s">
        <v>68</v>
      </c>
      <c r="C38" s="174">
        <v>138</v>
      </c>
      <c r="D38" s="323" t="s">
        <v>715</v>
      </c>
      <c r="E38" s="139" t="s">
        <v>714</v>
      </c>
      <c r="F38" s="603">
        <v>174500000</v>
      </c>
      <c r="G38" s="583">
        <v>0</v>
      </c>
      <c r="H38" s="387">
        <v>150000000</v>
      </c>
      <c r="I38" s="387">
        <f t="shared" ref="I38" si="6">F38-H38</f>
        <v>24500000</v>
      </c>
      <c r="J38" s="186"/>
      <c r="K38" s="64"/>
    </row>
    <row r="39" spans="1:11" s="38" customFormat="1" ht="24.75" customHeight="1" thickBot="1">
      <c r="A39" s="195"/>
      <c r="B39" s="140"/>
      <c r="C39" s="209"/>
      <c r="D39" s="210"/>
      <c r="E39" s="138" t="s">
        <v>713</v>
      </c>
      <c r="F39" s="132">
        <f>SUM(F38)</f>
        <v>174500000</v>
      </c>
      <c r="G39" s="132">
        <f>SUM(G38)</f>
        <v>0</v>
      </c>
      <c r="H39" s="132">
        <f>SUM(H38)</f>
        <v>150000000</v>
      </c>
      <c r="I39" s="132">
        <f>SUM(I38)</f>
        <v>24500000</v>
      </c>
      <c r="J39" s="172"/>
      <c r="K39" s="64"/>
    </row>
    <row r="40" spans="1:11" s="38" customFormat="1" ht="7.5" customHeight="1">
      <c r="A40" s="203"/>
      <c r="B40" s="212"/>
      <c r="C40" s="205"/>
      <c r="D40" s="206"/>
      <c r="E40" s="212"/>
      <c r="F40" s="381"/>
      <c r="G40" s="381"/>
      <c r="H40" s="381"/>
      <c r="I40" s="381"/>
      <c r="J40" s="175"/>
      <c r="K40" s="64"/>
    </row>
    <row r="41" spans="1:11" s="38" customFormat="1" ht="22.5" customHeight="1">
      <c r="A41" s="173">
        <v>11</v>
      </c>
      <c r="B41" s="141" t="s">
        <v>71</v>
      </c>
      <c r="C41" s="173">
        <v>140</v>
      </c>
      <c r="D41" s="332" t="s">
        <v>717</v>
      </c>
      <c r="E41" s="134" t="s">
        <v>716</v>
      </c>
      <c r="F41" s="307">
        <v>205250000</v>
      </c>
      <c r="G41" s="324">
        <v>0</v>
      </c>
      <c r="H41" s="382">
        <v>180000000</v>
      </c>
      <c r="I41" s="382">
        <f t="shared" ref="I41:I42" si="7">F41-H41</f>
        <v>25250000</v>
      </c>
      <c r="J41" s="171"/>
      <c r="K41" s="64"/>
    </row>
    <row r="42" spans="1:11" s="38" customFormat="1" ht="45" customHeight="1">
      <c r="A42" s="173"/>
      <c r="B42" s="141"/>
      <c r="C42" s="189"/>
      <c r="D42" s="332" t="s">
        <v>752</v>
      </c>
      <c r="E42" s="134" t="s">
        <v>753</v>
      </c>
      <c r="F42" s="307">
        <v>100000000</v>
      </c>
      <c r="G42" s="324">
        <v>0</v>
      </c>
      <c r="H42" s="382">
        <v>72000000</v>
      </c>
      <c r="I42" s="382">
        <f t="shared" si="7"/>
        <v>28000000</v>
      </c>
      <c r="J42" s="171"/>
      <c r="K42" s="64"/>
    </row>
    <row r="43" spans="1:11" s="38" customFormat="1" ht="21.75" customHeight="1" thickBot="1">
      <c r="A43" s="670"/>
      <c r="B43" s="642"/>
      <c r="C43" s="671"/>
      <c r="D43" s="672"/>
      <c r="E43" s="673" t="s">
        <v>718</v>
      </c>
      <c r="F43" s="674">
        <f t="shared" ref="F43:H43" si="8">SUM(F41:F42)</f>
        <v>305250000</v>
      </c>
      <c r="G43" s="674">
        <f t="shared" si="8"/>
        <v>0</v>
      </c>
      <c r="H43" s="674">
        <f t="shared" si="8"/>
        <v>252000000</v>
      </c>
      <c r="I43" s="674">
        <f>SUM(I41:I42)</f>
        <v>53250000</v>
      </c>
      <c r="J43" s="646"/>
      <c r="K43" s="64"/>
    </row>
    <row r="44" spans="1:11" s="38" customFormat="1" ht="24.75" customHeight="1" thickBot="1">
      <c r="A44" s="174">
        <v>12</v>
      </c>
      <c r="B44" s="573" t="s">
        <v>323</v>
      </c>
      <c r="C44" s="174">
        <v>182</v>
      </c>
      <c r="D44" s="323" t="s">
        <v>719</v>
      </c>
      <c r="E44" s="137" t="s">
        <v>720</v>
      </c>
      <c r="F44" s="387">
        <v>500000000</v>
      </c>
      <c r="G44" s="337">
        <v>768719.84</v>
      </c>
      <c r="H44" s="387">
        <v>498000000</v>
      </c>
      <c r="I44" s="387">
        <f t="shared" ref="I44" si="9">F44-H44</f>
        <v>2000000</v>
      </c>
      <c r="J44" s="186"/>
      <c r="K44" s="64"/>
    </row>
    <row r="45" spans="1:11" s="38" customFormat="1" ht="24.75" customHeight="1" thickBot="1">
      <c r="A45" s="195"/>
      <c r="B45" s="140"/>
      <c r="C45" s="209"/>
      <c r="D45" s="210"/>
      <c r="E45" s="140" t="s">
        <v>322</v>
      </c>
      <c r="F45" s="132">
        <f>SUM(F44)</f>
        <v>500000000</v>
      </c>
      <c r="G45" s="132">
        <f>SUM(G44)</f>
        <v>768719.84</v>
      </c>
      <c r="H45" s="132">
        <f>SUM(H44)</f>
        <v>498000000</v>
      </c>
      <c r="I45" s="132">
        <f>SUM(I44)</f>
        <v>2000000</v>
      </c>
      <c r="J45" s="172"/>
      <c r="K45" s="64"/>
    </row>
    <row r="46" spans="1:11" s="38" customFormat="1" ht="7.5" customHeight="1">
      <c r="A46" s="587"/>
      <c r="B46" s="518"/>
      <c r="C46" s="584"/>
      <c r="D46" s="588"/>
      <c r="E46" s="380"/>
      <c r="F46" s="589"/>
      <c r="G46" s="589"/>
      <c r="H46" s="589"/>
      <c r="I46" s="589"/>
      <c r="J46" s="477"/>
      <c r="K46" s="64"/>
    </row>
    <row r="47" spans="1:11" s="38" customFormat="1" ht="46.5" customHeight="1" thickBot="1">
      <c r="A47" s="174">
        <v>13</v>
      </c>
      <c r="B47" s="201" t="s">
        <v>642</v>
      </c>
      <c r="C47" s="174">
        <v>179</v>
      </c>
      <c r="D47" s="323" t="s">
        <v>722</v>
      </c>
      <c r="E47" s="137" t="s">
        <v>721</v>
      </c>
      <c r="F47" s="387">
        <v>100000000</v>
      </c>
      <c r="G47" s="387">
        <v>0</v>
      </c>
      <c r="H47" s="387">
        <v>50000000</v>
      </c>
      <c r="I47" s="387">
        <f t="shared" ref="I47" si="10">F47-H47</f>
        <v>50000000</v>
      </c>
      <c r="J47" s="186"/>
      <c r="K47" s="64"/>
    </row>
    <row r="48" spans="1:11" s="38" customFormat="1" ht="32.25" customHeight="1" thickBot="1">
      <c r="A48" s="191"/>
      <c r="B48" s="575"/>
      <c r="C48" s="209"/>
      <c r="D48" s="576"/>
      <c r="E48" s="138" t="s">
        <v>723</v>
      </c>
      <c r="F48" s="221">
        <f>SUM(F47)</f>
        <v>100000000</v>
      </c>
      <c r="G48" s="221">
        <f>SUM(G47)</f>
        <v>0</v>
      </c>
      <c r="H48" s="221">
        <f>SUM(H47)</f>
        <v>50000000</v>
      </c>
      <c r="I48" s="221">
        <f>SUM(I47)</f>
        <v>50000000</v>
      </c>
      <c r="J48" s="172"/>
      <c r="K48" s="64"/>
    </row>
    <row r="49" spans="1:11" s="38" customFormat="1" ht="8.25" customHeight="1">
      <c r="A49" s="203"/>
      <c r="B49" s="212"/>
      <c r="C49" s="205"/>
      <c r="D49" s="206"/>
      <c r="E49" s="591"/>
      <c r="F49" s="381"/>
      <c r="G49" s="381"/>
      <c r="H49" s="381"/>
      <c r="I49" s="381"/>
      <c r="J49" s="175"/>
      <c r="K49" s="64"/>
    </row>
    <row r="50" spans="1:11" s="38" customFormat="1" ht="36" customHeight="1">
      <c r="A50" s="173">
        <v>14</v>
      </c>
      <c r="B50" s="141" t="s">
        <v>329</v>
      </c>
      <c r="C50" s="173">
        <v>188</v>
      </c>
      <c r="D50" s="332" t="s">
        <v>724</v>
      </c>
      <c r="E50" s="134" t="s">
        <v>725</v>
      </c>
      <c r="F50" s="307">
        <v>805500000</v>
      </c>
      <c r="G50" s="600">
        <v>72500000</v>
      </c>
      <c r="H50" s="382">
        <v>400000000</v>
      </c>
      <c r="I50" s="382">
        <f t="shared" ref="I50:I51" si="11">F50-H50</f>
        <v>405500000</v>
      </c>
      <c r="J50" s="171"/>
      <c r="K50" s="64"/>
    </row>
    <row r="51" spans="1:11" s="38" customFormat="1" ht="36" customHeight="1" thickBot="1">
      <c r="A51" s="174"/>
      <c r="B51" s="201"/>
      <c r="C51" s="197"/>
      <c r="D51" s="323" t="s">
        <v>747</v>
      </c>
      <c r="E51" s="137" t="s">
        <v>746</v>
      </c>
      <c r="F51" s="246">
        <v>539000000</v>
      </c>
      <c r="G51" s="601">
        <v>312847500</v>
      </c>
      <c r="H51" s="387">
        <v>100000000</v>
      </c>
      <c r="I51" s="387">
        <f t="shared" si="11"/>
        <v>439000000</v>
      </c>
      <c r="J51" s="186"/>
      <c r="K51" s="64"/>
    </row>
    <row r="52" spans="1:11" s="38" customFormat="1" ht="34.5" customHeight="1" thickBot="1">
      <c r="A52" s="195"/>
      <c r="B52" s="140"/>
      <c r="C52" s="209"/>
      <c r="D52" s="210"/>
      <c r="E52" s="140" t="s">
        <v>726</v>
      </c>
      <c r="F52" s="132">
        <f t="shared" ref="F52:H52" si="12">SUM(F50:F51)</f>
        <v>1344500000</v>
      </c>
      <c r="G52" s="132">
        <f t="shared" si="12"/>
        <v>385347500</v>
      </c>
      <c r="H52" s="132">
        <f t="shared" si="12"/>
        <v>500000000</v>
      </c>
      <c r="I52" s="132">
        <f>SUM(I50:I51)</f>
        <v>844500000</v>
      </c>
      <c r="J52" s="172"/>
      <c r="K52" s="64"/>
    </row>
    <row r="53" spans="1:11" s="38" customFormat="1" ht="9" customHeight="1">
      <c r="A53" s="203"/>
      <c r="B53" s="212"/>
      <c r="C53" s="205"/>
      <c r="D53" s="206"/>
      <c r="E53" s="591"/>
      <c r="F53" s="381"/>
      <c r="G53" s="381"/>
      <c r="H53" s="381"/>
      <c r="I53" s="381"/>
      <c r="J53" s="175"/>
      <c r="K53" s="64"/>
    </row>
    <row r="54" spans="1:11" s="38" customFormat="1" ht="22.5" customHeight="1">
      <c r="A54" s="174">
        <v>15</v>
      </c>
      <c r="B54" s="254" t="s">
        <v>99</v>
      </c>
      <c r="C54" s="174">
        <v>167</v>
      </c>
      <c r="D54" s="323" t="s">
        <v>804</v>
      </c>
      <c r="E54" s="137" t="s">
        <v>805</v>
      </c>
      <c r="F54" s="246">
        <v>2000000000</v>
      </c>
      <c r="G54" s="601">
        <v>962000</v>
      </c>
      <c r="H54" s="387">
        <v>200000000</v>
      </c>
      <c r="I54" s="387">
        <f t="shared" ref="I54:I55" si="13">F54-H54</f>
        <v>1800000000</v>
      </c>
      <c r="J54" s="186"/>
      <c r="K54" s="64"/>
    </row>
    <row r="55" spans="1:11" s="38" customFormat="1" ht="22.5" customHeight="1" thickBot="1">
      <c r="A55" s="174"/>
      <c r="B55" s="254"/>
      <c r="C55" s="197"/>
      <c r="D55" s="323" t="s">
        <v>784</v>
      </c>
      <c r="E55" s="137" t="s">
        <v>785</v>
      </c>
      <c r="F55" s="246">
        <v>25000000</v>
      </c>
      <c r="G55" s="601">
        <v>1705000</v>
      </c>
      <c r="H55" s="387">
        <v>4000000</v>
      </c>
      <c r="I55" s="387">
        <f t="shared" si="13"/>
        <v>21000000</v>
      </c>
      <c r="J55" s="186"/>
      <c r="K55" s="64"/>
    </row>
    <row r="56" spans="1:11" s="38" customFormat="1" ht="18.75" customHeight="1" thickBot="1">
      <c r="A56" s="195"/>
      <c r="B56" s="140"/>
      <c r="C56" s="209"/>
      <c r="D56" s="210"/>
      <c r="E56" s="249" t="s">
        <v>321</v>
      </c>
      <c r="F56" s="132">
        <f t="shared" ref="F56:H56" si="14">SUM(F54:F55)</f>
        <v>2025000000</v>
      </c>
      <c r="G56" s="132">
        <f t="shared" si="14"/>
        <v>2667000</v>
      </c>
      <c r="H56" s="132">
        <f t="shared" si="14"/>
        <v>204000000</v>
      </c>
      <c r="I56" s="132">
        <f>SUM(I54:I55)</f>
        <v>1821000000</v>
      </c>
      <c r="J56" s="172"/>
      <c r="K56" s="64"/>
    </row>
    <row r="57" spans="1:11" s="38" customFormat="1" ht="8.25" customHeight="1">
      <c r="A57" s="203"/>
      <c r="B57" s="212"/>
      <c r="C57" s="205"/>
      <c r="D57" s="206"/>
      <c r="E57" s="591"/>
      <c r="F57" s="381"/>
      <c r="G57" s="381"/>
      <c r="H57" s="381"/>
      <c r="I57" s="381"/>
      <c r="J57" s="175"/>
      <c r="K57" s="64"/>
    </row>
    <row r="58" spans="1:11" s="38" customFormat="1" ht="24.75" customHeight="1" thickBot="1">
      <c r="A58" s="174">
        <v>16</v>
      </c>
      <c r="B58" s="201" t="s">
        <v>80</v>
      </c>
      <c r="C58" s="174">
        <v>150</v>
      </c>
      <c r="D58" s="323" t="s">
        <v>728</v>
      </c>
      <c r="E58" s="137" t="s">
        <v>727</v>
      </c>
      <c r="F58" s="246">
        <v>366000000</v>
      </c>
      <c r="G58" s="583">
        <v>0</v>
      </c>
      <c r="H58" s="387">
        <v>300000000</v>
      </c>
      <c r="I58" s="387">
        <f t="shared" ref="I58" si="15">F58-H58</f>
        <v>66000000</v>
      </c>
      <c r="J58" s="186"/>
      <c r="K58" s="64"/>
    </row>
    <row r="59" spans="1:11" s="38" customFormat="1" ht="24.75" customHeight="1" thickBot="1">
      <c r="A59" s="195"/>
      <c r="B59" s="140"/>
      <c r="C59" s="209"/>
      <c r="D59" s="210"/>
      <c r="E59" s="140" t="s">
        <v>729</v>
      </c>
      <c r="F59" s="132">
        <f>SUM(F58)</f>
        <v>366000000</v>
      </c>
      <c r="G59" s="132">
        <f>SUM(G58)</f>
        <v>0</v>
      </c>
      <c r="H59" s="132">
        <f>SUM(H58)</f>
        <v>300000000</v>
      </c>
      <c r="I59" s="132">
        <f>SUM(I58)</f>
        <v>66000000</v>
      </c>
      <c r="J59" s="172"/>
      <c r="K59" s="64"/>
    </row>
    <row r="60" spans="1:11" s="38" customFormat="1" ht="7.5" customHeight="1">
      <c r="A60" s="203"/>
      <c r="B60" s="212"/>
      <c r="C60" s="205"/>
      <c r="D60" s="206"/>
      <c r="E60" s="591"/>
      <c r="F60" s="381"/>
      <c r="G60" s="381"/>
      <c r="H60" s="381"/>
      <c r="I60" s="381"/>
      <c r="J60" s="175"/>
      <c r="K60" s="64"/>
    </row>
    <row r="61" spans="1:11" s="38" customFormat="1" ht="24.75" customHeight="1">
      <c r="A61" s="173">
        <v>17</v>
      </c>
      <c r="B61" s="141" t="s">
        <v>78</v>
      </c>
      <c r="C61" s="173">
        <v>147</v>
      </c>
      <c r="D61" s="332" t="s">
        <v>732</v>
      </c>
      <c r="E61" s="91" t="s">
        <v>730</v>
      </c>
      <c r="F61" s="94">
        <v>400000000</v>
      </c>
      <c r="G61" s="324">
        <v>0</v>
      </c>
      <c r="H61" s="382">
        <v>200000000</v>
      </c>
      <c r="I61" s="387">
        <f t="shared" ref="I61:I62" si="16">F61-H61</f>
        <v>200000000</v>
      </c>
      <c r="J61" s="171"/>
      <c r="K61" s="64"/>
    </row>
    <row r="62" spans="1:11" s="38" customFormat="1" ht="24.75" customHeight="1">
      <c r="A62" s="173"/>
      <c r="B62" s="141"/>
      <c r="C62" s="189"/>
      <c r="D62" s="332" t="s">
        <v>733</v>
      </c>
      <c r="E62" s="134" t="s">
        <v>731</v>
      </c>
      <c r="F62" s="94">
        <v>400000000</v>
      </c>
      <c r="G62" s="324">
        <v>0</v>
      </c>
      <c r="H62" s="382">
        <v>200000000</v>
      </c>
      <c r="I62" s="382">
        <f t="shared" si="16"/>
        <v>200000000</v>
      </c>
      <c r="J62" s="171"/>
      <c r="K62" s="64"/>
    </row>
    <row r="63" spans="1:11" s="38" customFormat="1" ht="33.75" customHeight="1" thickBot="1">
      <c r="A63" s="670"/>
      <c r="B63" s="642"/>
      <c r="C63" s="671"/>
      <c r="D63" s="672"/>
      <c r="E63" s="673" t="s">
        <v>558</v>
      </c>
      <c r="F63" s="674">
        <f>SUM(F61:F62)</f>
        <v>800000000</v>
      </c>
      <c r="G63" s="674">
        <f>SUM(G61:G62)</f>
        <v>0</v>
      </c>
      <c r="H63" s="674">
        <f>SUM(H61:H62)</f>
        <v>400000000</v>
      </c>
      <c r="I63" s="674">
        <f>SUM(I61:I62)</f>
        <v>400000000</v>
      </c>
      <c r="J63" s="646"/>
      <c r="K63" s="64"/>
    </row>
    <row r="64" spans="1:11" s="38" customFormat="1" ht="34.5" customHeight="1">
      <c r="A64" s="203">
        <v>18</v>
      </c>
      <c r="B64" s="212" t="s">
        <v>47</v>
      </c>
      <c r="C64" s="203">
        <v>110</v>
      </c>
      <c r="D64" s="322" t="s">
        <v>737</v>
      </c>
      <c r="E64" s="214" t="s">
        <v>735</v>
      </c>
      <c r="F64" s="638">
        <v>360000000</v>
      </c>
      <c r="G64" s="638">
        <v>100000000</v>
      </c>
      <c r="H64" s="598">
        <v>100000000</v>
      </c>
      <c r="I64" s="598">
        <f t="shared" ref="I64:I65" si="17">F64-H64</f>
        <v>260000000</v>
      </c>
      <c r="J64" s="175"/>
      <c r="K64" s="64"/>
    </row>
    <row r="65" spans="1:11" s="38" customFormat="1" ht="18" customHeight="1" thickBot="1">
      <c r="A65" s="174"/>
      <c r="B65" s="201"/>
      <c r="C65" s="197"/>
      <c r="D65" s="323" t="s">
        <v>736</v>
      </c>
      <c r="E65" s="202" t="s">
        <v>734</v>
      </c>
      <c r="F65" s="601">
        <v>670000000</v>
      </c>
      <c r="G65" s="601">
        <v>125766596.17</v>
      </c>
      <c r="H65" s="387">
        <v>500000000</v>
      </c>
      <c r="I65" s="387">
        <f t="shared" si="17"/>
        <v>170000000</v>
      </c>
      <c r="J65" s="186"/>
      <c r="K65" s="64"/>
    </row>
    <row r="66" spans="1:11" s="38" customFormat="1" ht="36" customHeight="1" thickBot="1">
      <c r="A66" s="593"/>
      <c r="B66" s="140"/>
      <c r="C66" s="594"/>
      <c r="D66" s="595"/>
      <c r="E66" s="140" t="s">
        <v>738</v>
      </c>
      <c r="F66" s="132">
        <f>SUM(F64:F65)</f>
        <v>1030000000</v>
      </c>
      <c r="G66" s="132">
        <f>SUM(G64:G65)</f>
        <v>225766596.17000002</v>
      </c>
      <c r="H66" s="132">
        <f>SUM(H64:H65)</f>
        <v>600000000</v>
      </c>
      <c r="I66" s="132">
        <f>SUM(I64:I65)</f>
        <v>430000000</v>
      </c>
      <c r="J66" s="596"/>
      <c r="K66" s="64"/>
    </row>
    <row r="67" spans="1:11" s="38" customFormat="1" ht="7.5" customHeight="1">
      <c r="A67" s="203"/>
      <c r="B67" s="212"/>
      <c r="C67" s="205"/>
      <c r="D67" s="206"/>
      <c r="E67" s="591"/>
      <c r="F67" s="381"/>
      <c r="G67" s="381"/>
      <c r="H67" s="381"/>
      <c r="I67" s="381"/>
      <c r="J67" s="175"/>
      <c r="K67" s="64"/>
    </row>
    <row r="68" spans="1:11" s="38" customFormat="1" ht="34.5" customHeight="1">
      <c r="A68" s="173">
        <v>19</v>
      </c>
      <c r="B68" s="141" t="s">
        <v>629</v>
      </c>
      <c r="C68" s="173">
        <v>113</v>
      </c>
      <c r="D68" s="332" t="s">
        <v>743</v>
      </c>
      <c r="E68" s="134" t="s">
        <v>742</v>
      </c>
      <c r="F68" s="599">
        <v>300000000</v>
      </c>
      <c r="G68" s="599">
        <v>0</v>
      </c>
      <c r="H68" s="599">
        <v>300000000</v>
      </c>
      <c r="I68" s="382">
        <f>F68-H68</f>
        <v>0</v>
      </c>
      <c r="J68" s="171"/>
      <c r="K68" s="64"/>
    </row>
    <row r="69" spans="1:11" s="38" customFormat="1" ht="34.5" customHeight="1">
      <c r="A69" s="173"/>
      <c r="B69" s="141"/>
      <c r="C69" s="189"/>
      <c r="D69" s="332" t="s">
        <v>740</v>
      </c>
      <c r="E69" s="134" t="s">
        <v>741</v>
      </c>
      <c r="F69" s="382">
        <v>229000000</v>
      </c>
      <c r="G69" s="600">
        <v>46400564</v>
      </c>
      <c r="H69" s="382">
        <v>150000000</v>
      </c>
      <c r="I69" s="382">
        <f>F69-H69</f>
        <v>79000000</v>
      </c>
      <c r="J69" s="171"/>
      <c r="K69" s="64"/>
    </row>
    <row r="70" spans="1:11" s="38" customFormat="1" ht="24.75" customHeight="1" thickBot="1">
      <c r="A70" s="174"/>
      <c r="B70" s="201"/>
      <c r="C70" s="197"/>
      <c r="D70" s="323" t="s">
        <v>744</v>
      </c>
      <c r="E70" s="139" t="s">
        <v>745</v>
      </c>
      <c r="F70" s="387">
        <v>40000000</v>
      </c>
      <c r="G70" s="387">
        <v>0</v>
      </c>
      <c r="H70" s="387">
        <v>40000000</v>
      </c>
      <c r="I70" s="387">
        <f t="shared" ref="I70" si="18">F70-H70</f>
        <v>0</v>
      </c>
      <c r="J70" s="186"/>
      <c r="K70" s="64"/>
    </row>
    <row r="71" spans="1:11" s="38" customFormat="1" ht="33.75" customHeight="1" thickBot="1">
      <c r="A71" s="195"/>
      <c r="B71" s="140"/>
      <c r="C71" s="209"/>
      <c r="D71" s="210"/>
      <c r="E71" s="138" t="s">
        <v>739</v>
      </c>
      <c r="F71" s="132">
        <f>SUM(F68:F70)</f>
        <v>569000000</v>
      </c>
      <c r="G71" s="132">
        <f>SUM(G68:G70)</f>
        <v>46400564</v>
      </c>
      <c r="H71" s="132">
        <f>SUM(H68:H70)</f>
        <v>490000000</v>
      </c>
      <c r="I71" s="132">
        <f>SUM(I68:I70)</f>
        <v>79000000</v>
      </c>
      <c r="J71" s="172"/>
      <c r="K71" s="64"/>
    </row>
    <row r="72" spans="1:11" s="38" customFormat="1" ht="7.5" customHeight="1">
      <c r="A72" s="203"/>
      <c r="B72" s="212"/>
      <c r="C72" s="205"/>
      <c r="D72" s="206"/>
      <c r="E72" s="591"/>
      <c r="F72" s="381"/>
      <c r="G72" s="381"/>
      <c r="H72" s="381"/>
      <c r="I72" s="381"/>
      <c r="J72" s="175"/>
      <c r="K72" s="64"/>
    </row>
    <row r="73" spans="1:11" s="38" customFormat="1" ht="36" customHeight="1">
      <c r="A73" s="173">
        <v>20</v>
      </c>
      <c r="B73" s="573" t="s">
        <v>644</v>
      </c>
      <c r="C73" s="173">
        <v>193</v>
      </c>
      <c r="D73" s="323" t="s">
        <v>749</v>
      </c>
      <c r="E73" s="91" t="s">
        <v>748</v>
      </c>
      <c r="F73" s="382">
        <v>50000000</v>
      </c>
      <c r="G73" s="382">
        <v>0</v>
      </c>
      <c r="H73" s="382">
        <v>50000000</v>
      </c>
      <c r="I73" s="382">
        <f t="shared" ref="I73:I74" si="19">F73-H73</f>
        <v>0</v>
      </c>
      <c r="J73" s="171"/>
      <c r="K73" s="64"/>
    </row>
    <row r="74" spans="1:11" s="38" customFormat="1" ht="24.75" customHeight="1" thickBot="1">
      <c r="A74" s="174"/>
      <c r="B74" s="201"/>
      <c r="C74" s="197"/>
      <c r="D74" s="323" t="s">
        <v>751</v>
      </c>
      <c r="E74" s="202" t="s">
        <v>750</v>
      </c>
      <c r="F74" s="387">
        <v>100000000</v>
      </c>
      <c r="G74" s="387">
        <v>615142.07999999996</v>
      </c>
      <c r="H74" s="387">
        <v>70000000</v>
      </c>
      <c r="I74" s="387">
        <f t="shared" si="19"/>
        <v>30000000</v>
      </c>
      <c r="J74" s="186"/>
      <c r="K74" s="64"/>
    </row>
    <row r="75" spans="1:11" s="38" customFormat="1" ht="34.5" customHeight="1" thickBot="1">
      <c r="A75" s="195"/>
      <c r="B75" s="140"/>
      <c r="C75" s="209"/>
      <c r="D75" s="210"/>
      <c r="E75" s="138" t="s">
        <v>644</v>
      </c>
      <c r="F75" s="132">
        <f>SUM(F73:F74)</f>
        <v>150000000</v>
      </c>
      <c r="G75" s="132">
        <f>SUM(G73:G74)</f>
        <v>615142.07999999996</v>
      </c>
      <c r="H75" s="132">
        <f>SUM(H73:H74)</f>
        <v>120000000</v>
      </c>
      <c r="I75" s="132">
        <f>SUM(I73:I74)</f>
        <v>30000000</v>
      </c>
      <c r="J75" s="172"/>
      <c r="K75" s="64"/>
    </row>
    <row r="76" spans="1:11" s="38" customFormat="1" ht="8.25" customHeight="1">
      <c r="A76" s="203"/>
      <c r="B76" s="212"/>
      <c r="C76" s="205"/>
      <c r="D76" s="206"/>
      <c r="E76" s="212"/>
      <c r="F76" s="381"/>
      <c r="G76" s="381"/>
      <c r="H76" s="381"/>
      <c r="I76" s="381"/>
      <c r="J76" s="175"/>
      <c r="K76" s="64"/>
    </row>
    <row r="77" spans="1:11" s="38" customFormat="1" ht="54.75" customHeight="1" thickBot="1">
      <c r="A77" s="174">
        <v>21</v>
      </c>
      <c r="B77" s="573" t="s">
        <v>55</v>
      </c>
      <c r="C77" s="174">
        <v>117</v>
      </c>
      <c r="D77" s="323" t="s">
        <v>765</v>
      </c>
      <c r="E77" s="137" t="s">
        <v>764</v>
      </c>
      <c r="F77" s="387">
        <v>80000000</v>
      </c>
      <c r="G77" s="387">
        <v>6789601.8700000001</v>
      </c>
      <c r="H77" s="387">
        <v>35000000</v>
      </c>
      <c r="I77" s="387">
        <f t="shared" ref="I77" si="20">F77-H77</f>
        <v>45000000</v>
      </c>
      <c r="J77" s="186"/>
      <c r="K77" s="64"/>
    </row>
    <row r="78" spans="1:11" s="38" customFormat="1" ht="24.75" customHeight="1" thickBot="1">
      <c r="A78" s="195"/>
      <c r="B78" s="140"/>
      <c r="C78" s="209"/>
      <c r="D78" s="210"/>
      <c r="E78" s="140" t="s">
        <v>763</v>
      </c>
      <c r="F78" s="132">
        <f>SUM(F77)</f>
        <v>80000000</v>
      </c>
      <c r="G78" s="132">
        <f>SUM(G77)</f>
        <v>6789601.8700000001</v>
      </c>
      <c r="H78" s="132">
        <f>SUM(H77)</f>
        <v>35000000</v>
      </c>
      <c r="I78" s="132">
        <f>SUM(I77)</f>
        <v>45000000</v>
      </c>
      <c r="J78" s="172"/>
      <c r="K78" s="64"/>
    </row>
    <row r="79" spans="1:11" s="38" customFormat="1" ht="9.75" customHeight="1">
      <c r="A79" s="203"/>
      <c r="B79" s="212"/>
      <c r="C79" s="205"/>
      <c r="D79" s="206"/>
      <c r="E79" s="212"/>
      <c r="F79" s="381"/>
      <c r="G79" s="381"/>
      <c r="H79" s="381"/>
      <c r="I79" s="381"/>
      <c r="J79" s="175"/>
      <c r="K79" s="64"/>
    </row>
    <row r="80" spans="1:11" s="38" customFormat="1" ht="24.75" customHeight="1">
      <c r="A80" s="173">
        <v>22</v>
      </c>
      <c r="B80" s="141" t="s">
        <v>27</v>
      </c>
      <c r="C80" s="189">
        <v>121</v>
      </c>
      <c r="D80" s="332" t="s">
        <v>803</v>
      </c>
      <c r="E80" s="134" t="s">
        <v>790</v>
      </c>
      <c r="F80" s="663">
        <v>2790525</v>
      </c>
      <c r="G80" s="324"/>
      <c r="H80" s="382">
        <v>2000000</v>
      </c>
      <c r="I80" s="382">
        <f t="shared" ref="I80:I82" si="21">F80-H80</f>
        <v>790525</v>
      </c>
      <c r="J80" s="171"/>
      <c r="K80" s="64"/>
    </row>
    <row r="81" spans="1:11" s="38" customFormat="1" ht="45.75" customHeight="1">
      <c r="A81" s="173"/>
      <c r="B81" s="141"/>
      <c r="C81" s="189"/>
      <c r="D81" s="323" t="s">
        <v>791</v>
      </c>
      <c r="E81" s="134" t="s">
        <v>792</v>
      </c>
      <c r="F81" s="647">
        <v>2000000</v>
      </c>
      <c r="G81" s="382"/>
      <c r="H81" s="382">
        <v>2000000</v>
      </c>
      <c r="I81" s="387">
        <f t="shared" si="21"/>
        <v>0</v>
      </c>
      <c r="J81" s="171"/>
      <c r="K81" s="64"/>
    </row>
    <row r="82" spans="1:11" s="38" customFormat="1" ht="33.75" customHeight="1" thickBot="1">
      <c r="A82" s="174"/>
      <c r="B82" s="201"/>
      <c r="C82" s="197"/>
      <c r="D82" s="323" t="s">
        <v>794</v>
      </c>
      <c r="E82" s="137" t="s">
        <v>793</v>
      </c>
      <c r="F82" s="648">
        <v>4300000</v>
      </c>
      <c r="G82" s="387"/>
      <c r="H82" s="387">
        <v>4300000</v>
      </c>
      <c r="I82" s="387">
        <f t="shared" si="21"/>
        <v>0</v>
      </c>
      <c r="J82" s="186"/>
      <c r="K82" s="64"/>
    </row>
    <row r="83" spans="1:11" s="38" customFormat="1" ht="15.75" customHeight="1" thickBot="1">
      <c r="A83" s="195"/>
      <c r="B83" s="140"/>
      <c r="C83" s="209"/>
      <c r="D83" s="210"/>
      <c r="E83" s="140" t="s">
        <v>795</v>
      </c>
      <c r="F83" s="132">
        <f t="shared" ref="F83:H83" si="22">SUM(F80:F82)</f>
        <v>9090525</v>
      </c>
      <c r="G83" s="132">
        <f t="shared" si="22"/>
        <v>0</v>
      </c>
      <c r="H83" s="132">
        <f t="shared" si="22"/>
        <v>8300000</v>
      </c>
      <c r="I83" s="132">
        <f>SUM(I80:I82)</f>
        <v>790525</v>
      </c>
      <c r="J83" s="172"/>
      <c r="K83" s="64"/>
    </row>
    <row r="84" spans="1:11" s="33" customFormat="1" ht="24.75" customHeight="1" thickBot="1">
      <c r="A84" s="191"/>
      <c r="B84" s="192"/>
      <c r="C84" s="193"/>
      <c r="D84" s="194"/>
      <c r="E84" s="385" t="s">
        <v>169</v>
      </c>
      <c r="F84" s="222">
        <f>F8+F13+F20+F23+F16+F26+F29+F32+F36+F39+F43+F45+F48+F52+F56+F59+F63+F71+F66+F75+F78+F83</f>
        <v>19963435425</v>
      </c>
      <c r="G84" s="222">
        <f>G8+G13+G20+G23+G16+G26+G29+G32+G36+G39+G43+G45+G48+G52+G56+G59+G63+G71+G66+G75+G78+G83</f>
        <v>1065562894.8600001</v>
      </c>
      <c r="H84" s="222">
        <f>H8+H13+H20+H23+H16+H26+H29+H32+H36+H39+H43+H45+H48+H52+H56+H59+H63+H71+H66+H75+H78+H83</f>
        <v>13147300000</v>
      </c>
      <c r="I84" s="222">
        <f>I8+I13+I20+I23+I16+I26+I29+I32+I36+I39+I43+I45+I48+I52+I56+I59+I63+I71+I66+I75+I78+I83</f>
        <v>6816135425</v>
      </c>
      <c r="J84" s="172"/>
    </row>
    <row r="85" spans="1:11" s="33" customFormat="1" ht="18.95" customHeight="1">
      <c r="A85" s="38"/>
      <c r="B85" s="54"/>
      <c r="C85" s="38"/>
      <c r="D85" s="50"/>
      <c r="E85" s="51"/>
      <c r="F85" s="48"/>
      <c r="G85" s="48"/>
      <c r="H85" s="48"/>
      <c r="I85" s="48"/>
    </row>
    <row r="86" spans="1:11" s="33" customFormat="1" ht="46.5" customHeight="1">
      <c r="J86" s="602"/>
    </row>
    <row r="87" spans="1:11" s="33" customFormat="1" ht="39.75" customHeight="1">
      <c r="J87" s="602"/>
    </row>
    <row r="88" spans="1:11" s="33" customFormat="1" ht="18.95" customHeight="1">
      <c r="A88" s="38"/>
      <c r="B88" s="38"/>
      <c r="C88" s="38"/>
      <c r="D88" s="50"/>
      <c r="E88" s="53"/>
      <c r="F88" s="48"/>
      <c r="G88" s="48"/>
      <c r="H88" s="48"/>
      <c r="I88" s="48"/>
    </row>
    <row r="89" spans="1:11" s="33" customFormat="1" ht="18.95" customHeight="1">
      <c r="A89" s="38"/>
      <c r="B89" s="38"/>
      <c r="C89" s="38"/>
      <c r="D89" s="50"/>
      <c r="E89" s="53"/>
      <c r="F89" s="48"/>
      <c r="G89" s="48"/>
      <c r="H89" s="48"/>
      <c r="I89" s="48"/>
    </row>
    <row r="90" spans="1:11" s="33" customFormat="1" ht="18.95" customHeight="1">
      <c r="A90" s="38"/>
      <c r="B90" s="38"/>
      <c r="C90" s="38"/>
      <c r="D90" s="50"/>
      <c r="E90" s="51"/>
      <c r="F90" s="48"/>
      <c r="G90" s="48"/>
      <c r="H90" s="48"/>
      <c r="I90" s="48"/>
    </row>
    <row r="91" spans="1:11" s="33" customFormat="1" ht="18.95" customHeight="1">
      <c r="A91" s="38"/>
      <c r="B91" s="38"/>
      <c r="C91" s="38"/>
      <c r="D91" s="50"/>
      <c r="E91" s="51"/>
      <c r="F91" s="48"/>
      <c r="G91" s="48"/>
      <c r="H91" s="48"/>
      <c r="I91" s="48"/>
    </row>
  </sheetData>
  <mergeCells count="4">
    <mergeCell ref="A1:J1"/>
    <mergeCell ref="A2:J2"/>
    <mergeCell ref="A3:J3"/>
    <mergeCell ref="A4:J4"/>
  </mergeCells>
  <pageMargins left="0.1" right="0.13" top="0.75" bottom="0.75" header="0.3" footer="0.3"/>
  <pageSetup firstPageNumber="33" orientation="landscape" useFirstPageNumber="1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L82"/>
  <sheetViews>
    <sheetView topLeftCell="A59" workbookViewId="0">
      <selection activeCell="E56" sqref="E56"/>
    </sheetView>
  </sheetViews>
  <sheetFormatPr defaultRowHeight="15"/>
  <cols>
    <col min="1" max="1" width="11.5703125" customWidth="1"/>
    <col min="2" max="2" width="12.7109375" customWidth="1"/>
    <col min="3" max="3" width="35.28515625" customWidth="1"/>
    <col min="4" max="4" width="13.42578125" customWidth="1"/>
    <col min="5" max="5" width="13" customWidth="1"/>
    <col min="6" max="6" width="14.7109375" customWidth="1"/>
    <col min="7" max="7" width="13.42578125" customWidth="1"/>
    <col min="8" max="8" width="9.85546875" customWidth="1"/>
    <col min="12" max="12" width="13.140625" bestFit="1" customWidth="1"/>
  </cols>
  <sheetData>
    <row r="1" spans="1:8">
      <c r="A1" s="679" t="s">
        <v>9</v>
      </c>
      <c r="B1" s="679"/>
      <c r="C1" s="679"/>
      <c r="D1" s="679"/>
      <c r="E1" s="679"/>
      <c r="F1" s="679"/>
      <c r="G1" s="679"/>
      <c r="H1" s="679"/>
    </row>
    <row r="2" spans="1:8">
      <c r="A2" s="681" t="s">
        <v>666</v>
      </c>
      <c r="B2" s="681"/>
      <c r="C2" s="681"/>
      <c r="D2" s="681"/>
      <c r="E2" s="681"/>
      <c r="F2" s="681"/>
      <c r="G2" s="681"/>
      <c r="H2" s="681"/>
    </row>
    <row r="3" spans="1:8">
      <c r="A3" s="679" t="s">
        <v>18</v>
      </c>
      <c r="B3" s="679"/>
      <c r="C3" s="679"/>
      <c r="D3" s="679"/>
      <c r="E3" s="679"/>
      <c r="F3" s="679"/>
      <c r="G3" s="679"/>
      <c r="H3" s="679"/>
    </row>
    <row r="4" spans="1:8">
      <c r="A4" s="31"/>
      <c r="B4" s="31"/>
      <c r="C4" s="683"/>
      <c r="D4" s="683"/>
      <c r="E4" s="683"/>
      <c r="F4" s="683"/>
      <c r="G4" s="32"/>
    </row>
    <row r="5" spans="1:8" s="33" customFormat="1" ht="37.5" customHeight="1">
      <c r="A5" s="121" t="s">
        <v>19</v>
      </c>
      <c r="B5" s="121" t="s">
        <v>20</v>
      </c>
      <c r="C5" s="122" t="s">
        <v>21</v>
      </c>
      <c r="D5" s="121" t="s">
        <v>308</v>
      </c>
      <c r="E5" s="121" t="s">
        <v>306</v>
      </c>
      <c r="F5" s="121" t="s">
        <v>22</v>
      </c>
      <c r="G5" s="121" t="s">
        <v>307</v>
      </c>
      <c r="H5" s="121" t="s">
        <v>309</v>
      </c>
    </row>
    <row r="6" spans="1:8" s="35" customFormat="1" ht="13.5" customHeight="1">
      <c r="A6" s="166">
        <v>1</v>
      </c>
      <c r="B6" s="166">
        <v>2</v>
      </c>
      <c r="C6" s="223">
        <v>3</v>
      </c>
      <c r="D6" s="123" t="s">
        <v>23</v>
      </c>
      <c r="E6" s="123" t="s">
        <v>177</v>
      </c>
      <c r="F6" s="124" t="s">
        <v>24</v>
      </c>
      <c r="G6" s="167" t="s">
        <v>25</v>
      </c>
      <c r="H6" s="34"/>
    </row>
    <row r="7" spans="1:8" s="35" customFormat="1" ht="24" customHeight="1">
      <c r="A7" s="135" t="s">
        <v>202</v>
      </c>
      <c r="B7" s="125"/>
      <c r="C7" s="141" t="s">
        <v>45</v>
      </c>
      <c r="D7" s="126"/>
      <c r="E7" s="256"/>
      <c r="F7" s="127"/>
      <c r="G7" s="168"/>
      <c r="H7" s="171"/>
    </row>
    <row r="8" spans="1:8" s="35" customFormat="1" ht="24" thickBot="1">
      <c r="A8" s="135"/>
      <c r="B8" s="136" t="s">
        <v>548</v>
      </c>
      <c r="C8" s="137" t="s">
        <v>290</v>
      </c>
      <c r="D8" s="128">
        <v>70000000</v>
      </c>
      <c r="E8" s="256">
        <f>SUM(E7:E7)</f>
        <v>0</v>
      </c>
      <c r="F8" s="129">
        <v>150000000</v>
      </c>
      <c r="G8" s="169">
        <f>D8+F8</f>
        <v>220000000</v>
      </c>
      <c r="H8" s="174" t="s">
        <v>310</v>
      </c>
    </row>
    <row r="9" spans="1:8" s="35" customFormat="1" ht="26.25" customHeight="1" thickBot="1">
      <c r="A9" s="130"/>
      <c r="B9" s="131"/>
      <c r="C9" s="138" t="s">
        <v>291</v>
      </c>
      <c r="D9" s="132">
        <f>SUM(D8)</f>
        <v>70000000</v>
      </c>
      <c r="E9" s="269">
        <f>SUM(E8:E8)</f>
        <v>0</v>
      </c>
      <c r="F9" s="132">
        <f>SUM(F8)</f>
        <v>150000000</v>
      </c>
      <c r="G9" s="170">
        <f>SUM(G8)</f>
        <v>220000000</v>
      </c>
      <c r="H9" s="172"/>
    </row>
    <row r="10" spans="1:8" s="35" customFormat="1" ht="8.25" customHeight="1">
      <c r="A10" s="44"/>
      <c r="B10" s="44"/>
      <c r="C10" s="44"/>
      <c r="D10" s="44"/>
      <c r="E10" s="44"/>
      <c r="F10" s="44"/>
      <c r="G10" s="44"/>
      <c r="H10" s="44"/>
    </row>
    <row r="11" spans="1:8" s="35" customFormat="1" ht="15" customHeight="1">
      <c r="A11" s="317" t="s">
        <v>682</v>
      </c>
      <c r="B11" s="114"/>
      <c r="C11" s="185" t="s">
        <v>53</v>
      </c>
      <c r="D11" s="114"/>
      <c r="E11" s="114"/>
      <c r="F11" s="114"/>
      <c r="G11" s="114" t="s">
        <v>540</v>
      </c>
      <c r="H11" s="114"/>
    </row>
    <row r="12" spans="1:8" s="35" customFormat="1" ht="24" customHeight="1">
      <c r="A12" s="114"/>
      <c r="B12" s="332" t="s">
        <v>679</v>
      </c>
      <c r="C12" s="134" t="s">
        <v>677</v>
      </c>
      <c r="D12" s="547">
        <v>0</v>
      </c>
      <c r="E12" s="547">
        <v>0</v>
      </c>
      <c r="F12" s="62">
        <v>20000000</v>
      </c>
      <c r="G12" s="382">
        <f>D12+F12</f>
        <v>20000000</v>
      </c>
      <c r="H12" s="173" t="s">
        <v>310</v>
      </c>
    </row>
    <row r="13" spans="1:8" s="35" customFormat="1" ht="25.5" customHeight="1">
      <c r="A13" s="114"/>
      <c r="B13" s="332" t="s">
        <v>680</v>
      </c>
      <c r="C13" s="134" t="s">
        <v>678</v>
      </c>
      <c r="D13" s="547"/>
      <c r="E13" s="547"/>
      <c r="F13" s="62">
        <v>2500000</v>
      </c>
      <c r="G13" s="382">
        <f>D13+F13</f>
        <v>2500000</v>
      </c>
      <c r="H13" s="173" t="s">
        <v>310</v>
      </c>
    </row>
    <row r="14" spans="1:8" s="35" customFormat="1" ht="15" customHeight="1" thickBot="1">
      <c r="A14" s="548"/>
      <c r="B14" s="323" t="s">
        <v>681</v>
      </c>
      <c r="C14" s="202" t="s">
        <v>676</v>
      </c>
      <c r="D14" s="549">
        <v>0</v>
      </c>
      <c r="E14" s="549">
        <v>0</v>
      </c>
      <c r="F14" s="550">
        <v>11500000</v>
      </c>
      <c r="G14" s="387">
        <f>D14+F14</f>
        <v>11500000</v>
      </c>
      <c r="H14" s="174" t="s">
        <v>310</v>
      </c>
    </row>
    <row r="15" spans="1:8" s="35" customFormat="1" ht="24.75" customHeight="1">
      <c r="A15" s="608"/>
      <c r="B15" s="609"/>
      <c r="C15" s="398" t="s">
        <v>675</v>
      </c>
      <c r="D15" s="610">
        <f t="shared" ref="D15:F15" si="0">SUM(D12:D14)</f>
        <v>0</v>
      </c>
      <c r="E15" s="610">
        <f t="shared" si="0"/>
        <v>0</v>
      </c>
      <c r="F15" s="610">
        <f t="shared" si="0"/>
        <v>34000000</v>
      </c>
      <c r="G15" s="610">
        <f>SUM(G12:G14)</f>
        <v>34000000</v>
      </c>
      <c r="H15" s="611"/>
    </row>
    <row r="16" spans="1:8" s="35" customFormat="1" ht="6.75" customHeight="1">
      <c r="A16" s="34"/>
      <c r="B16" s="34"/>
      <c r="C16" s="34"/>
      <c r="D16" s="34"/>
      <c r="E16" s="34"/>
      <c r="F16" s="34"/>
      <c r="G16" s="34"/>
      <c r="H16" s="34"/>
    </row>
    <row r="17" spans="1:8" s="35" customFormat="1" ht="15" customHeight="1">
      <c r="A17" s="317" t="s">
        <v>766</v>
      </c>
      <c r="B17" s="34"/>
      <c r="C17" s="185" t="s">
        <v>55</v>
      </c>
      <c r="D17" s="34"/>
      <c r="E17" s="34"/>
      <c r="F17" s="34"/>
      <c r="G17" s="34"/>
      <c r="H17" s="34"/>
    </row>
    <row r="18" spans="1:8" s="35" customFormat="1" ht="15" customHeight="1">
      <c r="A18" s="34"/>
      <c r="B18" s="332" t="s">
        <v>767</v>
      </c>
      <c r="C18" s="91" t="s">
        <v>768</v>
      </c>
      <c r="D18" s="336">
        <v>20000000</v>
      </c>
      <c r="E18" s="337">
        <v>20000000</v>
      </c>
      <c r="F18" s="336">
        <v>35000000</v>
      </c>
      <c r="G18" s="382">
        <f>D18+F18</f>
        <v>55000000</v>
      </c>
      <c r="H18" s="174" t="s">
        <v>310</v>
      </c>
    </row>
    <row r="19" spans="1:8" s="35" customFormat="1" ht="15" customHeight="1">
      <c r="A19" s="34"/>
      <c r="B19" s="34"/>
      <c r="C19" s="185" t="s">
        <v>763</v>
      </c>
      <c r="D19" s="574">
        <f t="shared" ref="D19:F19" si="1">SUM(D18)</f>
        <v>20000000</v>
      </c>
      <c r="E19" s="574">
        <f t="shared" si="1"/>
        <v>20000000</v>
      </c>
      <c r="F19" s="574">
        <f t="shared" si="1"/>
        <v>35000000</v>
      </c>
      <c r="G19" s="574">
        <f>SUM(G18)</f>
        <v>55000000</v>
      </c>
      <c r="H19" s="34"/>
    </row>
    <row r="20" spans="1:8" s="35" customFormat="1" ht="6.75" customHeight="1">
      <c r="A20" s="34"/>
      <c r="B20" s="34"/>
      <c r="C20" s="34"/>
      <c r="D20" s="34"/>
      <c r="E20" s="34"/>
      <c r="F20" s="34"/>
      <c r="G20" s="34"/>
      <c r="H20" s="34"/>
    </row>
    <row r="21" spans="1:8" s="35" customFormat="1" ht="22.5">
      <c r="A21" s="135" t="s">
        <v>188</v>
      </c>
      <c r="B21" s="136"/>
      <c r="C21" s="201" t="s">
        <v>412</v>
      </c>
      <c r="D21" s="247"/>
      <c r="E21" s="256"/>
      <c r="F21" s="247"/>
      <c r="G21" s="247"/>
      <c r="H21" s="186"/>
    </row>
    <row r="22" spans="1:8" s="35" customFormat="1" ht="24" thickBot="1">
      <c r="A22" s="245"/>
      <c r="B22" s="323" t="s">
        <v>545</v>
      </c>
      <c r="C22" s="137" t="s">
        <v>413</v>
      </c>
      <c r="D22" s="246">
        <v>23000000</v>
      </c>
      <c r="E22" s="256">
        <f>SUM(E21:E21)</f>
        <v>0</v>
      </c>
      <c r="F22" s="248">
        <v>23000000</v>
      </c>
      <c r="G22" s="248">
        <f>D22+F22</f>
        <v>46000000</v>
      </c>
      <c r="H22" s="174" t="s">
        <v>310</v>
      </c>
    </row>
    <row r="23" spans="1:8" s="35" customFormat="1" ht="23.25" customHeight="1" thickBot="1">
      <c r="A23" s="130"/>
      <c r="B23" s="131"/>
      <c r="C23" s="140" t="s">
        <v>414</v>
      </c>
      <c r="D23" s="132">
        <f>SUM(D22:D22)</f>
        <v>23000000</v>
      </c>
      <c r="E23" s="132">
        <f>SUM(E22:E22)</f>
        <v>0</v>
      </c>
      <c r="F23" s="132">
        <f>SUM(F22:F22)</f>
        <v>23000000</v>
      </c>
      <c r="G23" s="132">
        <f>SUM(G22:G22)</f>
        <v>46000000</v>
      </c>
      <c r="H23" s="172"/>
    </row>
    <row r="24" spans="1:8" s="35" customFormat="1" ht="8.25" customHeight="1">
      <c r="A24" s="44"/>
      <c r="B24" s="335"/>
      <c r="C24" s="44"/>
      <c r="D24" s="44"/>
      <c r="E24" s="44"/>
      <c r="F24" s="44"/>
      <c r="G24" s="44"/>
      <c r="H24" s="44"/>
    </row>
    <row r="25" spans="1:8" s="35" customFormat="1" ht="15" customHeight="1">
      <c r="A25" s="135" t="s">
        <v>796</v>
      </c>
      <c r="B25" s="649"/>
      <c r="C25" s="650" t="s">
        <v>27</v>
      </c>
      <c r="D25" s="44"/>
      <c r="E25" s="44"/>
      <c r="F25" s="44"/>
      <c r="G25" s="44"/>
      <c r="H25" s="44"/>
    </row>
    <row r="26" spans="1:8" s="35" customFormat="1" ht="48.75" customHeight="1" thickBot="1">
      <c r="A26" s="285"/>
      <c r="B26" s="323" t="s">
        <v>798</v>
      </c>
      <c r="C26" s="137" t="s">
        <v>797</v>
      </c>
      <c r="D26" s="651">
        <v>39559475</v>
      </c>
      <c r="E26" s="652">
        <v>0</v>
      </c>
      <c r="F26" s="664">
        <v>8300000</v>
      </c>
      <c r="G26" s="248">
        <f>D26+F26</f>
        <v>47859475</v>
      </c>
      <c r="H26" s="653"/>
    </row>
    <row r="27" spans="1:8" s="35" customFormat="1" ht="15" customHeight="1" thickBot="1">
      <c r="A27" s="654"/>
      <c r="B27" s="655"/>
      <c r="C27" s="656" t="s">
        <v>795</v>
      </c>
      <c r="D27" s="657">
        <f>SUM(D26)</f>
        <v>39559475</v>
      </c>
      <c r="E27" s="658">
        <f t="shared" ref="E27:G27" si="2">SUM(E26)</f>
        <v>0</v>
      </c>
      <c r="F27" s="665">
        <f t="shared" si="2"/>
        <v>8300000</v>
      </c>
      <c r="G27" s="657">
        <f t="shared" si="2"/>
        <v>47859475</v>
      </c>
      <c r="H27" s="288"/>
    </row>
    <row r="28" spans="1:8" s="35" customFormat="1" ht="15" customHeight="1">
      <c r="A28" s="317" t="s">
        <v>189</v>
      </c>
      <c r="B28" s="166"/>
      <c r="C28" s="184" t="s">
        <v>118</v>
      </c>
      <c r="D28" s="302"/>
      <c r="E28" s="302"/>
      <c r="F28" s="302"/>
      <c r="G28" s="302"/>
      <c r="H28" s="34"/>
    </row>
    <row r="29" spans="1:8" s="35" customFormat="1" ht="15" customHeight="1" thickBot="1">
      <c r="A29" s="166"/>
      <c r="B29" s="323" t="s">
        <v>555</v>
      </c>
      <c r="C29" s="202" t="s">
        <v>556</v>
      </c>
      <c r="D29" s="256">
        <v>0</v>
      </c>
      <c r="E29" s="256">
        <v>0</v>
      </c>
      <c r="F29" s="361">
        <v>12500000</v>
      </c>
      <c r="G29" s="169">
        <f>D29+F29</f>
        <v>12500000</v>
      </c>
      <c r="H29" s="174" t="s">
        <v>310</v>
      </c>
    </row>
    <row r="30" spans="1:8" s="35" customFormat="1" ht="15" customHeight="1" thickBot="1">
      <c r="A30" s="286"/>
      <c r="B30" s="287"/>
      <c r="C30" s="213" t="s">
        <v>554</v>
      </c>
      <c r="D30" s="269">
        <f>SUM(D29)</f>
        <v>0</v>
      </c>
      <c r="E30" s="269">
        <f>SUM(E29)</f>
        <v>0</v>
      </c>
      <c r="F30" s="269">
        <f>SUM(F29)</f>
        <v>12500000</v>
      </c>
      <c r="G30" s="269">
        <f>SUM(G29)</f>
        <v>12500000</v>
      </c>
      <c r="H30" s="288"/>
    </row>
    <row r="31" spans="1:8" s="35" customFormat="1" ht="8.25" customHeight="1">
      <c r="A31" s="44"/>
      <c r="B31" s="335"/>
      <c r="C31" s="44"/>
      <c r="D31" s="44"/>
      <c r="E31" s="44"/>
      <c r="F31" s="44"/>
      <c r="G31" s="44"/>
      <c r="H31" s="44"/>
    </row>
    <row r="32" spans="1:8" s="35" customFormat="1">
      <c r="A32" s="317" t="s">
        <v>191</v>
      </c>
      <c r="B32" s="125"/>
      <c r="C32" s="141" t="s">
        <v>69</v>
      </c>
      <c r="D32" s="242"/>
      <c r="E32" s="242"/>
      <c r="F32" s="242"/>
      <c r="G32" s="242"/>
      <c r="H32" s="171"/>
    </row>
    <row r="33" spans="1:8" s="35" customFormat="1" ht="23.25">
      <c r="A33" s="185"/>
      <c r="B33" s="332" t="s">
        <v>549</v>
      </c>
      <c r="C33" s="134" t="s">
        <v>450</v>
      </c>
      <c r="D33" s="248">
        <v>1000000</v>
      </c>
      <c r="E33" s="256">
        <f>SUM(E32:E32)</f>
        <v>0</v>
      </c>
      <c r="F33" s="248">
        <v>500000</v>
      </c>
      <c r="G33" s="248">
        <f>D33+F33</f>
        <v>1500000</v>
      </c>
      <c r="H33" s="174" t="s">
        <v>310</v>
      </c>
    </row>
    <row r="34" spans="1:8" s="35" customFormat="1" ht="24" thickBot="1">
      <c r="A34" s="245"/>
      <c r="B34" s="323" t="s">
        <v>546</v>
      </c>
      <c r="C34" s="137" t="s">
        <v>449</v>
      </c>
      <c r="D34" s="248">
        <v>2500000</v>
      </c>
      <c r="E34" s="256">
        <f>SUM(E33:E33)</f>
        <v>0</v>
      </c>
      <c r="F34" s="248">
        <v>3000000</v>
      </c>
      <c r="G34" s="248">
        <f>D34+F34</f>
        <v>5500000</v>
      </c>
      <c r="H34" s="174" t="s">
        <v>310</v>
      </c>
    </row>
    <row r="35" spans="1:8" s="35" customFormat="1" ht="15.75" thickBot="1">
      <c r="A35" s="130"/>
      <c r="B35" s="131"/>
      <c r="C35" s="140" t="s">
        <v>448</v>
      </c>
      <c r="D35" s="39">
        <f>SUM(D33:D34)</f>
        <v>3500000</v>
      </c>
      <c r="E35" s="39">
        <f>SUM(E33:E34)</f>
        <v>0</v>
      </c>
      <c r="F35" s="39">
        <f>SUM(F33:F34)</f>
        <v>3500000</v>
      </c>
      <c r="G35" s="39">
        <f>SUM(G33:G34)</f>
        <v>7000000</v>
      </c>
      <c r="H35" s="172"/>
    </row>
    <row r="36" spans="1:8" s="35" customFormat="1" ht="8.25" customHeight="1">
      <c r="A36" s="133"/>
      <c r="B36" s="243"/>
      <c r="C36" s="212"/>
      <c r="D36" s="244"/>
      <c r="E36" s="244"/>
      <c r="F36" s="244"/>
      <c r="G36" s="244"/>
      <c r="H36" s="175"/>
    </row>
    <row r="37" spans="1:8" s="35" customFormat="1" ht="23.25" customHeight="1">
      <c r="A37" s="317" t="s">
        <v>192</v>
      </c>
      <c r="B37" s="40"/>
      <c r="C37" s="141" t="s">
        <v>74</v>
      </c>
      <c r="D37" s="126"/>
      <c r="E37" s="126"/>
      <c r="F37" s="127"/>
      <c r="G37" s="242"/>
      <c r="H37" s="312"/>
    </row>
    <row r="38" spans="1:8" s="35" customFormat="1" ht="23.25" customHeight="1">
      <c r="A38" s="313"/>
      <c r="B38" s="322" t="s">
        <v>295</v>
      </c>
      <c r="C38" s="214" t="s">
        <v>296</v>
      </c>
      <c r="D38" s="314">
        <v>3000000</v>
      </c>
      <c r="E38" s="309">
        <f>SUM(E37:E37)</f>
        <v>0</v>
      </c>
      <c r="F38" s="315">
        <v>100000000</v>
      </c>
      <c r="G38" s="316">
        <f>D38+F38</f>
        <v>103000000</v>
      </c>
      <c r="H38" s="173" t="s">
        <v>310</v>
      </c>
    </row>
    <row r="39" spans="1:8" s="35" customFormat="1" ht="14.25" customHeight="1">
      <c r="A39" s="317"/>
      <c r="B39" s="332" t="s">
        <v>297</v>
      </c>
      <c r="C39" s="134" t="s">
        <v>298</v>
      </c>
      <c r="D39" s="57">
        <v>7000000</v>
      </c>
      <c r="E39" s="302">
        <f>SUM(E38:E38)</f>
        <v>0</v>
      </c>
      <c r="F39" s="336">
        <v>75000000</v>
      </c>
      <c r="G39" s="321">
        <f>D39+F39</f>
        <v>82000000</v>
      </c>
      <c r="H39" s="173" t="s">
        <v>310</v>
      </c>
    </row>
    <row r="40" spans="1:8" s="35" customFormat="1" ht="24.75" customHeight="1" thickBot="1">
      <c r="A40" s="135"/>
      <c r="B40" s="323" t="s">
        <v>292</v>
      </c>
      <c r="C40" s="137" t="s">
        <v>293</v>
      </c>
      <c r="D40" s="389">
        <v>3000000</v>
      </c>
      <c r="E40" s="256">
        <f>SUM(E39:E39)</f>
        <v>0</v>
      </c>
      <c r="F40" s="390">
        <v>109000000</v>
      </c>
      <c r="G40" s="248">
        <f>D40+F40</f>
        <v>112000000</v>
      </c>
      <c r="H40" s="391" t="s">
        <v>463</v>
      </c>
    </row>
    <row r="41" spans="1:8" s="35" customFormat="1" ht="22.5" customHeight="1" thickBot="1">
      <c r="A41" s="392"/>
      <c r="B41" s="393"/>
      <c r="C41" s="140" t="s">
        <v>294</v>
      </c>
      <c r="D41" s="39">
        <f>SUM(D38:D40)</f>
        <v>13000000</v>
      </c>
      <c r="E41" s="269">
        <f>SUM(E40:E40)</f>
        <v>0</v>
      </c>
      <c r="F41" s="39">
        <f>SUM(F38:F40)</f>
        <v>284000000</v>
      </c>
      <c r="G41" s="39">
        <f>SUM(G38:G40)</f>
        <v>297000000</v>
      </c>
      <c r="H41" s="172"/>
    </row>
    <row r="42" spans="1:8" s="35" customFormat="1" ht="15.75" customHeight="1">
      <c r="A42" s="317" t="s">
        <v>193</v>
      </c>
      <c r="B42" s="125"/>
      <c r="C42" s="141" t="s">
        <v>75</v>
      </c>
      <c r="D42" s="242"/>
      <c r="E42" s="302"/>
      <c r="F42" s="242"/>
      <c r="G42" s="242"/>
      <c r="H42" s="171"/>
    </row>
    <row r="43" spans="1:8" s="35" customFormat="1" ht="22.5" customHeight="1" thickBot="1">
      <c r="A43" s="245"/>
      <c r="B43" s="323" t="s">
        <v>616</v>
      </c>
      <c r="C43" s="137" t="s">
        <v>615</v>
      </c>
      <c r="D43" s="248">
        <v>75000000</v>
      </c>
      <c r="E43" s="277">
        <v>361137</v>
      </c>
      <c r="F43" s="248">
        <v>400000000</v>
      </c>
      <c r="G43" s="248">
        <f>D43+F43</f>
        <v>475000000</v>
      </c>
      <c r="H43" s="186" t="s">
        <v>310</v>
      </c>
    </row>
    <row r="44" spans="1:8" s="35" customFormat="1" ht="22.5" customHeight="1" thickBot="1">
      <c r="A44" s="130"/>
      <c r="B44" s="131"/>
      <c r="C44" s="140" t="s">
        <v>614</v>
      </c>
      <c r="D44" s="39">
        <f>SUM(D43)</f>
        <v>75000000</v>
      </c>
      <c r="E44" s="269">
        <f>SUM(E43)</f>
        <v>361137</v>
      </c>
      <c r="F44" s="39">
        <f>SUM(F43)</f>
        <v>400000000</v>
      </c>
      <c r="G44" s="39">
        <f>SUM(G43)</f>
        <v>475000000</v>
      </c>
      <c r="H44" s="172"/>
    </row>
    <row r="45" spans="1:8" s="35" customFormat="1" ht="6.75" customHeight="1">
      <c r="A45" s="133"/>
      <c r="B45" s="243"/>
      <c r="C45" s="212"/>
      <c r="D45" s="244"/>
      <c r="E45" s="320"/>
      <c r="F45" s="244"/>
      <c r="G45" s="244"/>
      <c r="H45" s="175"/>
    </row>
    <row r="46" spans="1:8" s="35" customFormat="1" ht="15" customHeight="1">
      <c r="A46" s="317" t="s">
        <v>196</v>
      </c>
      <c r="B46" s="125"/>
      <c r="C46" s="185" t="s">
        <v>83</v>
      </c>
      <c r="D46" s="242"/>
      <c r="E46" s="242"/>
      <c r="F46" s="242"/>
      <c r="G46" s="242"/>
      <c r="H46" s="171"/>
    </row>
    <row r="47" spans="1:8" s="35" customFormat="1" ht="23.25" customHeight="1" thickBot="1">
      <c r="A47" s="245"/>
      <c r="B47" s="323" t="s">
        <v>547</v>
      </c>
      <c r="C47" s="137" t="s">
        <v>597</v>
      </c>
      <c r="D47" s="246">
        <v>460000000</v>
      </c>
      <c r="E47" s="256">
        <f>SUM(E46:E46)</f>
        <v>0</v>
      </c>
      <c r="F47" s="251">
        <v>1000000000</v>
      </c>
      <c r="G47" s="251">
        <f>D47+F47</f>
        <v>1460000000</v>
      </c>
      <c r="H47" s="174" t="s">
        <v>310</v>
      </c>
    </row>
    <row r="48" spans="1:8" s="35" customFormat="1" ht="15" customHeight="1" thickBot="1">
      <c r="A48" s="130"/>
      <c r="B48" s="131"/>
      <c r="C48" s="249" t="s">
        <v>333</v>
      </c>
      <c r="D48" s="39">
        <f>SUM(D47:D47)</f>
        <v>460000000</v>
      </c>
      <c r="E48" s="39">
        <f>SUM(E47:E47)</f>
        <v>0</v>
      </c>
      <c r="F48" s="551">
        <f>SUM(F47:F47)</f>
        <v>1000000000</v>
      </c>
      <c r="G48" s="551">
        <f>SUM(G47:G47)</f>
        <v>1460000000</v>
      </c>
      <c r="H48" s="172"/>
    </row>
    <row r="49" spans="1:8" s="35" customFormat="1" ht="8.25" customHeight="1">
      <c r="A49" s="133"/>
      <c r="B49" s="243"/>
      <c r="C49" s="212"/>
      <c r="D49" s="244"/>
      <c r="E49" s="320"/>
      <c r="F49" s="244"/>
      <c r="G49" s="244"/>
      <c r="H49" s="175"/>
    </row>
    <row r="50" spans="1:8" s="35" customFormat="1" ht="15" customHeight="1">
      <c r="A50" s="317" t="s">
        <v>609</v>
      </c>
      <c r="B50" s="332"/>
      <c r="C50" s="185" t="s">
        <v>317</v>
      </c>
      <c r="D50" s="388"/>
      <c r="E50" s="388"/>
      <c r="F50" s="302"/>
      <c r="G50" s="302"/>
      <c r="H50" s="34"/>
    </row>
    <row r="51" spans="1:8" s="35" customFormat="1" ht="15" customHeight="1" thickBot="1">
      <c r="A51" s="166"/>
      <c r="B51" s="323" t="s">
        <v>607</v>
      </c>
      <c r="C51" s="202" t="s">
        <v>608</v>
      </c>
      <c r="D51" s="277">
        <v>10000000</v>
      </c>
      <c r="E51" s="277">
        <v>3340000</v>
      </c>
      <c r="F51" s="277">
        <v>190000000</v>
      </c>
      <c r="G51" s="169">
        <f>D51+F51</f>
        <v>200000000</v>
      </c>
      <c r="H51" s="397" t="s">
        <v>310</v>
      </c>
    </row>
    <row r="52" spans="1:8" s="35" customFormat="1" ht="15" customHeight="1" thickBot="1">
      <c r="A52" s="286"/>
      <c r="B52" s="287"/>
      <c r="C52" s="213" t="s">
        <v>320</v>
      </c>
      <c r="D52" s="269">
        <f>SUM(D51)</f>
        <v>10000000</v>
      </c>
      <c r="E52" s="269">
        <f>SUM(E51)</f>
        <v>3340000</v>
      </c>
      <c r="F52" s="269">
        <f>SUM(F51)</f>
        <v>190000000</v>
      </c>
      <c r="G52" s="269">
        <f>SUM(G51)</f>
        <v>200000000</v>
      </c>
      <c r="H52" s="288"/>
    </row>
    <row r="53" spans="1:8" s="35" customFormat="1" ht="8.25" customHeight="1">
      <c r="A53" s="133"/>
      <c r="B53" s="243"/>
      <c r="C53" s="212"/>
      <c r="D53" s="244"/>
      <c r="E53" s="320"/>
      <c r="F53" s="244"/>
      <c r="G53" s="244"/>
      <c r="H53" s="175"/>
    </row>
    <row r="54" spans="1:8" s="33" customFormat="1" ht="24" customHeight="1">
      <c r="A54" s="317" t="s">
        <v>198</v>
      </c>
      <c r="B54" s="310"/>
      <c r="C54" s="141" t="s">
        <v>518</v>
      </c>
      <c r="D54" s="242"/>
      <c r="E54" s="242"/>
      <c r="F54" s="242"/>
      <c r="G54" s="242"/>
      <c r="H54" s="171"/>
    </row>
    <row r="55" spans="1:8" s="33" customFormat="1" ht="15" customHeight="1">
      <c r="A55" s="185"/>
      <c r="B55" s="662" t="s">
        <v>541</v>
      </c>
      <c r="C55" s="91" t="s">
        <v>520</v>
      </c>
      <c r="D55" s="321">
        <v>5000000</v>
      </c>
      <c r="E55" s="321">
        <v>0</v>
      </c>
      <c r="F55" s="321">
        <v>50000000</v>
      </c>
      <c r="G55" s="321">
        <f>D55+F55</f>
        <v>55000000</v>
      </c>
      <c r="H55" s="173" t="s">
        <v>310</v>
      </c>
    </row>
    <row r="56" spans="1:8" s="33" customFormat="1" ht="24" customHeight="1" thickBot="1">
      <c r="A56" s="659"/>
      <c r="B56" s="660"/>
      <c r="C56" s="642" t="s">
        <v>519</v>
      </c>
      <c r="D56" s="661">
        <f>SUM(D55)</f>
        <v>5000000</v>
      </c>
      <c r="E56" s="661">
        <f>SUM(E55)</f>
        <v>0</v>
      </c>
      <c r="F56" s="661">
        <f>SUM(F55)</f>
        <v>50000000</v>
      </c>
      <c r="G56" s="661">
        <f>SUM(G55)</f>
        <v>55000000</v>
      </c>
      <c r="H56" s="646"/>
    </row>
    <row r="57" spans="1:8" s="33" customFormat="1" ht="6.75" customHeight="1">
      <c r="A57" s="133"/>
      <c r="B57" s="243"/>
      <c r="C57" s="212"/>
      <c r="D57" s="244"/>
      <c r="E57" s="244"/>
      <c r="F57" s="244"/>
      <c r="G57" s="244"/>
      <c r="H57" s="175"/>
    </row>
    <row r="58" spans="1:8" s="33" customFormat="1" ht="18" customHeight="1">
      <c r="A58" s="317" t="s">
        <v>758</v>
      </c>
      <c r="B58" s="243"/>
      <c r="C58" s="141" t="s">
        <v>93</v>
      </c>
      <c r="D58" s="244"/>
      <c r="E58" s="244"/>
      <c r="F58" s="244"/>
      <c r="G58" s="244"/>
      <c r="H58" s="175"/>
    </row>
    <row r="59" spans="1:8" s="33" customFormat="1" ht="15" customHeight="1" thickBot="1">
      <c r="A59" s="604"/>
      <c r="B59" s="606" t="s">
        <v>760</v>
      </c>
      <c r="C59" s="607" t="s">
        <v>756</v>
      </c>
      <c r="D59" s="605">
        <v>0</v>
      </c>
      <c r="E59" s="605">
        <v>0</v>
      </c>
      <c r="F59" s="559">
        <v>400000000</v>
      </c>
      <c r="G59" s="248">
        <f>D59+F59</f>
        <v>400000000</v>
      </c>
      <c r="H59" s="174" t="s">
        <v>310</v>
      </c>
    </row>
    <row r="60" spans="1:8" s="33" customFormat="1" ht="15.75" customHeight="1" thickBot="1">
      <c r="A60" s="130"/>
      <c r="B60" s="131"/>
      <c r="C60" s="140" t="s">
        <v>757</v>
      </c>
      <c r="D60" s="39">
        <f>SUM(D59)</f>
        <v>0</v>
      </c>
      <c r="E60" s="39">
        <f>SUM(E59)</f>
        <v>0</v>
      </c>
      <c r="F60" s="39">
        <f>SUM(F59)</f>
        <v>400000000</v>
      </c>
      <c r="G60" s="39">
        <f>SUM(G59)</f>
        <v>400000000</v>
      </c>
      <c r="H60" s="172"/>
    </row>
    <row r="61" spans="1:8" s="33" customFormat="1" ht="24.75" customHeight="1">
      <c r="A61" s="478" t="s">
        <v>754</v>
      </c>
      <c r="B61" s="243"/>
      <c r="C61" s="212" t="s">
        <v>94</v>
      </c>
      <c r="D61" s="244"/>
      <c r="E61" s="244"/>
      <c r="F61" s="244"/>
      <c r="G61" s="244"/>
      <c r="H61" s="175"/>
    </row>
    <row r="62" spans="1:8" s="33" customFormat="1" ht="15" customHeight="1" thickBot="1">
      <c r="A62" s="604"/>
      <c r="B62" s="606" t="s">
        <v>759</v>
      </c>
      <c r="C62" s="607" t="s">
        <v>756</v>
      </c>
      <c r="D62" s="605">
        <v>0</v>
      </c>
      <c r="E62" s="605">
        <v>0</v>
      </c>
      <c r="F62" s="559">
        <v>100000000</v>
      </c>
      <c r="G62" s="248">
        <f>D62+F62</f>
        <v>100000000</v>
      </c>
      <c r="H62" s="174" t="s">
        <v>310</v>
      </c>
    </row>
    <row r="63" spans="1:8" s="33" customFormat="1" ht="24" customHeight="1" thickBot="1">
      <c r="A63" s="130"/>
      <c r="B63" s="131"/>
      <c r="C63" s="140" t="s">
        <v>755</v>
      </c>
      <c r="D63" s="39">
        <f>SUM(D62)</f>
        <v>0</v>
      </c>
      <c r="E63" s="39">
        <f>SUM(E62)</f>
        <v>0</v>
      </c>
      <c r="F63" s="39">
        <f>SUM(F62)</f>
        <v>100000000</v>
      </c>
      <c r="G63" s="39">
        <f>SUM(G62)</f>
        <v>100000000</v>
      </c>
      <c r="H63" s="172"/>
    </row>
    <row r="64" spans="1:8" s="33" customFormat="1" ht="7.5" customHeight="1">
      <c r="A64" s="133"/>
      <c r="B64" s="243"/>
      <c r="C64" s="212"/>
      <c r="D64" s="244"/>
      <c r="E64" s="244"/>
      <c r="F64" s="244"/>
      <c r="G64" s="244"/>
      <c r="H64" s="175"/>
    </row>
    <row r="65" spans="1:12" s="33" customFormat="1" ht="13.5" customHeight="1">
      <c r="A65" s="317" t="s">
        <v>199</v>
      </c>
      <c r="B65" s="125"/>
      <c r="C65" s="185" t="s">
        <v>99</v>
      </c>
      <c r="D65" s="242"/>
      <c r="E65" s="242"/>
      <c r="F65" s="242"/>
      <c r="G65" s="242"/>
      <c r="H65" s="171"/>
    </row>
    <row r="66" spans="1:12" s="33" customFormat="1" ht="13.5" customHeight="1">
      <c r="A66" s="311"/>
      <c r="B66" s="332" t="s">
        <v>542</v>
      </c>
      <c r="C66" s="91" t="s">
        <v>521</v>
      </c>
      <c r="D66" s="360">
        <v>1000000</v>
      </c>
      <c r="E66" s="324">
        <v>0</v>
      </c>
      <c r="F66" s="360">
        <v>36000000</v>
      </c>
      <c r="G66" s="360">
        <f>D66+F66</f>
        <v>37000000</v>
      </c>
      <c r="H66" s="174" t="s">
        <v>310</v>
      </c>
    </row>
    <row r="67" spans="1:12" s="33" customFormat="1" ht="13.5" customHeight="1">
      <c r="A67" s="245"/>
      <c r="B67" s="323" t="s">
        <v>523</v>
      </c>
      <c r="C67" s="202" t="s">
        <v>522</v>
      </c>
      <c r="D67" s="330">
        <v>50000000</v>
      </c>
      <c r="E67" s="247">
        <v>0</v>
      </c>
      <c r="F67" s="330">
        <v>2000000</v>
      </c>
      <c r="G67" s="330">
        <f>D67+F67</f>
        <v>52000000</v>
      </c>
      <c r="H67" s="174" t="s">
        <v>310</v>
      </c>
    </row>
    <row r="68" spans="1:12" s="33" customFormat="1" ht="13.5" customHeight="1" thickBot="1">
      <c r="A68" s="245"/>
      <c r="B68" s="323" t="s">
        <v>787</v>
      </c>
      <c r="C68" s="202" t="s">
        <v>786</v>
      </c>
      <c r="D68" s="330">
        <v>50000000</v>
      </c>
      <c r="E68" s="247">
        <v>0</v>
      </c>
      <c r="F68" s="330">
        <v>2000000</v>
      </c>
      <c r="G68" s="330">
        <f>D68+F68</f>
        <v>52000000</v>
      </c>
      <c r="H68" s="174" t="s">
        <v>310</v>
      </c>
    </row>
    <row r="69" spans="1:12" s="33" customFormat="1" ht="13.5" customHeight="1" thickBot="1">
      <c r="A69" s="130"/>
      <c r="B69" s="131"/>
      <c r="C69" s="213" t="s">
        <v>321</v>
      </c>
      <c r="D69" s="331">
        <f t="shared" ref="D69:F69" si="3">SUM(D66:D68)</f>
        <v>101000000</v>
      </c>
      <c r="E69" s="331">
        <f t="shared" si="3"/>
        <v>0</v>
      </c>
      <c r="F69" s="331">
        <f t="shared" si="3"/>
        <v>40000000</v>
      </c>
      <c r="G69" s="331">
        <f>SUM(G66:G68)</f>
        <v>141000000</v>
      </c>
      <c r="H69" s="172"/>
    </row>
    <row r="70" spans="1:12" s="33" customFormat="1" ht="8.25" customHeight="1">
      <c r="A70" s="133"/>
      <c r="B70" s="243"/>
      <c r="C70" s="212"/>
      <c r="D70" s="244"/>
      <c r="E70" s="244"/>
      <c r="F70" s="244"/>
      <c r="G70" s="244"/>
      <c r="H70" s="175"/>
    </row>
    <row r="71" spans="1:12" s="33" customFormat="1" ht="23.25" customHeight="1">
      <c r="A71" s="317" t="s">
        <v>656</v>
      </c>
      <c r="B71" s="319"/>
      <c r="C71" s="212" t="s">
        <v>340</v>
      </c>
      <c r="D71" s="400"/>
      <c r="E71" s="320"/>
      <c r="F71" s="401"/>
      <c r="G71" s="402"/>
      <c r="H71" s="175"/>
    </row>
    <row r="72" spans="1:12" s="33" customFormat="1" ht="15" customHeight="1" thickBot="1">
      <c r="A72" s="166"/>
      <c r="B72" s="334" t="s">
        <v>800</v>
      </c>
      <c r="C72" s="202" t="s">
        <v>470</v>
      </c>
      <c r="D72" s="256">
        <v>0</v>
      </c>
      <c r="E72" s="256">
        <v>0</v>
      </c>
      <c r="F72" s="257">
        <f>270000000-2073738.07</f>
        <v>267926261.93000001</v>
      </c>
      <c r="G72" s="169">
        <f>D72+F72</f>
        <v>267926261.93000001</v>
      </c>
      <c r="H72" s="174" t="s">
        <v>310</v>
      </c>
    </row>
    <row r="73" spans="1:12" s="33" customFormat="1" ht="24" customHeight="1" thickBot="1">
      <c r="A73" s="286"/>
      <c r="B73" s="287"/>
      <c r="C73" s="140" t="s">
        <v>469</v>
      </c>
      <c r="D73" s="516">
        <f>SUM(D72:D72)</f>
        <v>0</v>
      </c>
      <c r="E73" s="516">
        <f>SUM(E72:E72)</f>
        <v>0</v>
      </c>
      <c r="F73" s="516">
        <f>SUM(F72:F72)</f>
        <v>267926261.93000001</v>
      </c>
      <c r="G73" s="516">
        <f>SUM(G72:G72)</f>
        <v>267926261.93000001</v>
      </c>
      <c r="H73" s="172"/>
      <c r="L73" s="612"/>
    </row>
    <row r="74" spans="1:12" s="33" customFormat="1" ht="18" customHeight="1">
      <c r="A74" s="478" t="s">
        <v>200</v>
      </c>
      <c r="B74" s="479"/>
      <c r="C74" s="399" t="s">
        <v>103</v>
      </c>
      <c r="D74" s="480"/>
      <c r="E74" s="481"/>
      <c r="F74" s="482"/>
      <c r="G74" s="483"/>
      <c r="H74" s="44"/>
    </row>
    <row r="75" spans="1:12" s="33" customFormat="1" ht="14.25" customHeight="1">
      <c r="A75" s="254"/>
      <c r="B75" s="333" t="s">
        <v>543</v>
      </c>
      <c r="C75" s="93" t="s">
        <v>467</v>
      </c>
      <c r="D75" s="94">
        <v>6000000</v>
      </c>
      <c r="E75" s="268">
        <v>0</v>
      </c>
      <c r="F75" s="255">
        <v>15000000</v>
      </c>
      <c r="G75" s="169">
        <f>D75+F75</f>
        <v>21000000</v>
      </c>
      <c r="H75" s="174" t="s">
        <v>310</v>
      </c>
    </row>
    <row r="76" spans="1:12" s="33" customFormat="1" ht="12.75" customHeight="1" thickBot="1">
      <c r="A76" s="254"/>
      <c r="B76" s="334" t="s">
        <v>544</v>
      </c>
      <c r="C76" s="318" t="s">
        <v>539</v>
      </c>
      <c r="D76" s="250">
        <v>4000000</v>
      </c>
      <c r="E76" s="268">
        <v>0</v>
      </c>
      <c r="F76" s="255">
        <v>1600000</v>
      </c>
      <c r="G76" s="169">
        <f>D76+F76</f>
        <v>5600000</v>
      </c>
      <c r="H76" s="174" t="s">
        <v>310</v>
      </c>
    </row>
    <row r="77" spans="1:12" s="33" customFormat="1" ht="14.25" customHeight="1">
      <c r="A77" s="554"/>
      <c r="B77" s="555"/>
      <c r="C77" s="556" t="s">
        <v>468</v>
      </c>
      <c r="D77" s="557">
        <f>SUM(D75:D76)</f>
        <v>10000000</v>
      </c>
      <c r="E77" s="557">
        <f>SUM(E75:E76)</f>
        <v>0</v>
      </c>
      <c r="F77" s="557">
        <f>SUM(F75:F76)</f>
        <v>16600000</v>
      </c>
      <c r="G77" s="557">
        <f>SUM(G75:G76)</f>
        <v>26600000</v>
      </c>
      <c r="H77" s="558"/>
    </row>
    <row r="78" spans="1:12" s="33" customFormat="1" ht="8.25" customHeight="1">
      <c r="A78" s="149"/>
      <c r="B78" s="149"/>
      <c r="C78" s="185"/>
      <c r="D78" s="302"/>
      <c r="E78" s="302"/>
      <c r="F78" s="302"/>
      <c r="G78" s="302"/>
      <c r="H78" s="34"/>
    </row>
    <row r="79" spans="1:12" s="33" customFormat="1" ht="14.25" customHeight="1">
      <c r="A79" s="317" t="s">
        <v>694</v>
      </c>
      <c r="B79" s="149"/>
      <c r="C79" s="185" t="s">
        <v>323</v>
      </c>
      <c r="D79" s="302"/>
      <c r="E79" s="302"/>
      <c r="F79" s="302"/>
      <c r="G79" s="302"/>
      <c r="H79" s="34"/>
    </row>
    <row r="80" spans="1:12" s="33" customFormat="1" ht="25.5" customHeight="1" thickBot="1">
      <c r="A80" s="166"/>
      <c r="B80" s="334" t="s">
        <v>771</v>
      </c>
      <c r="C80" s="139" t="s">
        <v>770</v>
      </c>
      <c r="D80" s="277">
        <v>26000000</v>
      </c>
      <c r="E80" s="256">
        <v>0</v>
      </c>
      <c r="F80" s="277">
        <v>66000000</v>
      </c>
      <c r="G80" s="169">
        <f>D80+F80</f>
        <v>92000000</v>
      </c>
      <c r="H80" s="174" t="s">
        <v>310</v>
      </c>
    </row>
    <row r="81" spans="1:8" s="33" customFormat="1" ht="14.25" customHeight="1" thickBot="1">
      <c r="A81" s="286"/>
      <c r="B81" s="287"/>
      <c r="C81" s="213" t="s">
        <v>322</v>
      </c>
      <c r="D81" s="269">
        <f t="shared" ref="D81:F81" si="4">SUM(D80)</f>
        <v>26000000</v>
      </c>
      <c r="E81" s="269">
        <f t="shared" si="4"/>
        <v>0</v>
      </c>
      <c r="F81" s="269">
        <f t="shared" si="4"/>
        <v>66000000</v>
      </c>
      <c r="G81" s="269">
        <f>SUM(G80)</f>
        <v>92000000</v>
      </c>
      <c r="H81" s="288"/>
    </row>
    <row r="82" spans="1:8" ht="15.75" thickBot="1">
      <c r="A82" s="326"/>
      <c r="B82" s="327"/>
      <c r="C82" s="328" t="s">
        <v>29</v>
      </c>
      <c r="D82" s="366">
        <f>D77+D73+D9+D41+D23+D48+D35+D56+D69+D30+D52+D44+D15+D81+D63+D60+D19</f>
        <v>816500000</v>
      </c>
      <c r="E82" s="366">
        <f>E77+E73+E9+E41+E23+E48+E35+E56+E69+E30+E52+E44+E15+E81+E63+E60+E19</f>
        <v>23701137</v>
      </c>
      <c r="F82" s="366">
        <f>F77+F73+F9+F41+F23+F48+F35+F56+F69+F30+F52+F44+F15+F81+F63+F60+F19</f>
        <v>3072526261.9300003</v>
      </c>
      <c r="G82" s="366">
        <f>G77+G73+G9+G41+G23+G48+G35+G56+G69+G30+G52+G44+G15+G81+G63+G60+G19</f>
        <v>3889026261.9300003</v>
      </c>
      <c r="H82" s="329"/>
    </row>
  </sheetData>
  <mergeCells count="4">
    <mergeCell ref="C4:F4"/>
    <mergeCell ref="A1:H1"/>
    <mergeCell ref="A2:H2"/>
    <mergeCell ref="A3:H3"/>
  </mergeCells>
  <pageMargins left="0.55000000000000004" right="0.45" top="0.75" bottom="0.75" header="0.3" footer="0.3"/>
  <pageSetup firstPageNumber="37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Overall summary</vt:lpstr>
      <vt:lpstr>summary Allo Pool fund recurent</vt:lpstr>
      <vt:lpstr>Sumary Allo pooled fund capital</vt:lpstr>
      <vt:lpstr>Pooled fund personnel</vt:lpstr>
      <vt:lpstr>Pooled Fund SP</vt:lpstr>
      <vt:lpstr>Personnel Details</vt:lpstr>
      <vt:lpstr>Details SP</vt:lpstr>
      <vt:lpstr>Pooled Fund detail Capital</vt:lpstr>
      <vt:lpstr>Project detail capital</vt:lpstr>
      <vt:lpstr>First Schedle</vt:lpstr>
      <vt:lpstr>Second Schedle</vt:lpstr>
      <vt:lpstr>Third Schedule</vt:lpstr>
      <vt:lpstr>Fourth Schedule</vt:lpstr>
      <vt:lpstr>'Project detail capital'!_GoBack</vt:lpstr>
      <vt:lpstr>'Fourth Schedule'!Print_Titles</vt:lpstr>
      <vt:lpstr>'Pooled Fund detail Capital'!Print_Titles</vt:lpstr>
      <vt:lpstr>'Pooled Fund SP'!Print_Titles</vt:lpstr>
      <vt:lpstr>'Project detail capital'!Print_Titles</vt:lpstr>
      <vt:lpstr>'summary Allo Pool fund recurent'!Print_Titles</vt:lpstr>
      <vt:lpstr>'Third Schedule'!Print_Titles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Budget</cp:lastModifiedBy>
  <cp:lastPrinted>2018-12-14T14:11:15Z</cp:lastPrinted>
  <dcterms:created xsi:type="dcterms:W3CDTF">2011-10-12T15:22:11Z</dcterms:created>
  <dcterms:modified xsi:type="dcterms:W3CDTF">2018-12-14T14:12:58Z</dcterms:modified>
</cp:coreProperties>
</file>